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20" yWindow="0" windowWidth="19880" windowHeight="11820" tabRatio="500" activeTab="0"/>
  </bookViews>
  <sheets>
    <sheet name="Picture" sheetId="1" r:id="rId1"/>
    <sheet name="Director" sheetId="2" r:id="rId2"/>
    <sheet name="Actor" sheetId="3" r:id="rId3"/>
    <sheet name="Actress" sheetId="4" r:id="rId4"/>
    <sheet name="Supp.Actor" sheetId="5" r:id="rId5"/>
    <sheet name="Supp.Actress" sheetId="6" r:id="rId6"/>
    <sheet name="Original" sheetId="7" r:id="rId7"/>
    <sheet name="Adaptation" sheetId="8" r:id="rId8"/>
    <sheet name="0" sheetId="9" r:id="rId9"/>
    <sheet name="00" sheetId="10" r:id="rId10"/>
    <sheet name="000" sheetId="11" r:id="rId11"/>
    <sheet name="0000" sheetId="12" r:id="rId12"/>
    <sheet name="Blad13" sheetId="13" r:id="rId13"/>
    <sheet name="Blad14" sheetId="14" r:id="rId14"/>
    <sheet name="Blad15" sheetId="15" r:id="rId15"/>
    <sheet name="Blad16" sheetId="16" r:id="rId16"/>
  </sheets>
  <definedNames>
    <definedName name="_xlnm.Print_Area" localSheetId="7">'Adaptation'!$A:$E</definedName>
  </definedNames>
  <calcPr fullCalcOnLoad="1"/>
</workbook>
</file>

<file path=xl/sharedStrings.xml><?xml version="1.0" encoding="utf-8"?>
<sst xmlns="http://schemas.openxmlformats.org/spreadsheetml/2006/main" count="168" uniqueCount="140">
  <si>
    <t>1</t>
  </si>
  <si>
    <t>Boyhood</t>
  </si>
  <si>
    <t>Richard Linklater, Boyhood</t>
  </si>
  <si>
    <t>Timothy Spall, Mr. Turner</t>
  </si>
  <si>
    <t>J.K. Simmons, Whiplash</t>
  </si>
  <si>
    <t>Patricia Arquette, Boyhood</t>
  </si>
  <si>
    <t>The Grand Budapest Hotel</t>
  </si>
  <si>
    <t>Ida</t>
  </si>
  <si>
    <t>Pawel Pawlikowski, Ida</t>
  </si>
  <si>
    <t>Mike Leigh, Mr. Turner</t>
  </si>
  <si>
    <t>Luc &amp; Jean-Pierre Dardenne, Two Days, One Night</t>
  </si>
  <si>
    <t>James Gray, The Immigrant</t>
  </si>
  <si>
    <t>Whiplash</t>
  </si>
  <si>
    <t>The Imitation Game</t>
  </si>
  <si>
    <t>The Theory of Everything</t>
  </si>
  <si>
    <t>Mr. Turner</t>
  </si>
  <si>
    <t>Selma</t>
  </si>
  <si>
    <t>Gone Girl</t>
  </si>
  <si>
    <t>Birdman</t>
  </si>
  <si>
    <t>Love is Srange</t>
  </si>
  <si>
    <t>Alejandro González Iñárritu, Birdman</t>
  </si>
  <si>
    <t>Damien Chazelle, Whiplash</t>
  </si>
  <si>
    <t>David Fincher, Gone Girl</t>
  </si>
  <si>
    <t>Morten Tyldum, The Imitation Game</t>
  </si>
  <si>
    <t>Ava DuVernay, Selma</t>
  </si>
  <si>
    <t>Benedict Cumberbatch, The Imitation Game</t>
  </si>
  <si>
    <t>Eddie Redmayne, The Theory of Everything</t>
  </si>
  <si>
    <t>Jake Gyllenhaal, Nightcrawler</t>
  </si>
  <si>
    <t>Michael Keaton, Birdman</t>
  </si>
  <si>
    <t>Miles Teller, Whiplash</t>
  </si>
  <si>
    <t>Steve Carell, Foxcatcher</t>
  </si>
  <si>
    <t>David Oyelowo, Selma</t>
  </si>
  <si>
    <t>Rosamund Pike, Gone Girl</t>
  </si>
  <si>
    <t>Anne Dorval, Mommy</t>
  </si>
  <si>
    <t>Felicity Jones, The Theory of Everything</t>
  </si>
  <si>
    <t>Gugu Mbatha-Raw, Belle</t>
  </si>
  <si>
    <t>Julianne Moore, Still Alice</t>
  </si>
  <si>
    <t>Reese Witherspoon, Wild</t>
  </si>
  <si>
    <t>Marion Cotillard, Two Days, One Night</t>
  </si>
  <si>
    <t>Edward Norton, Birdman</t>
  </si>
  <si>
    <t>Ethan Hawke, Boyhood</t>
  </si>
  <si>
    <t>Mark Ruffalo, Foxcatcher</t>
  </si>
  <si>
    <t>Robert Duvall, The Judge</t>
  </si>
  <si>
    <t>Andy Serkis, Dawn of the Planet of the Apes</t>
  </si>
  <si>
    <t>Emma Stone, Birdman</t>
  </si>
  <si>
    <t>Keira Knightley, The Imitation Game</t>
  </si>
  <si>
    <t>Laura Dern, Wild</t>
  </si>
  <si>
    <t>Tilda Swinton, Snowpiercer</t>
  </si>
  <si>
    <t>Katherine Waterston, Inherent Vice</t>
  </si>
  <si>
    <t>Love is Strange</t>
  </si>
  <si>
    <t>Nightcrawler</t>
  </si>
  <si>
    <t>Inherent Vice</t>
  </si>
  <si>
    <t>American Sniper</t>
  </si>
  <si>
    <t>Wild</t>
  </si>
  <si>
    <t>A Most Violent Year</t>
  </si>
  <si>
    <t>Clint Eastwood, American Sniper</t>
  </si>
  <si>
    <t>Oscar Isaac, A Most Violent Year</t>
  </si>
  <si>
    <t>Jessica Chastain, A Most Violent Year</t>
  </si>
  <si>
    <t>Paul Thomas Anderson, Inherent Vice</t>
  </si>
  <si>
    <t>Wild Tales</t>
  </si>
  <si>
    <t>Damián Szifron, Wild Tales</t>
  </si>
  <si>
    <t>Fury</t>
  </si>
  <si>
    <t>Unbroken</t>
  </si>
  <si>
    <t>J.C. Chandor, A Most Violent Year</t>
  </si>
  <si>
    <t>Richard Glatzer &amp; Wash Westmoreland, Still Alice</t>
  </si>
  <si>
    <r>
      <t>Steven Knight</t>
    </r>
    <r>
      <rPr>
        <sz val="10"/>
        <rFont val="Arial"/>
        <family val="0"/>
      </rPr>
      <t>, Locke</t>
    </r>
  </si>
  <si>
    <t>Tom Hardy, Locke</t>
  </si>
  <si>
    <t>Agata Kulesza, Ida</t>
  </si>
  <si>
    <t>Rene Russo, Nightcrawler</t>
  </si>
  <si>
    <t>Mommy</t>
  </si>
  <si>
    <t>Two Days One Night</t>
  </si>
  <si>
    <t>Under the Skin</t>
  </si>
  <si>
    <t>Jonathan Glazer, Under the Skin</t>
  </si>
  <si>
    <t>Ralph Fiennes, The Grand Budapest Hotel</t>
  </si>
  <si>
    <t>Brendan Gleeson, Calvary</t>
  </si>
  <si>
    <t>Josh Brolin, Inherent Vice</t>
  </si>
  <si>
    <t>2</t>
  </si>
  <si>
    <t>Suzanne Clement, Mommy</t>
  </si>
  <si>
    <t>Two Days, One Night</t>
  </si>
  <si>
    <t>Snowpiercer</t>
  </si>
  <si>
    <t>Under the skin</t>
  </si>
  <si>
    <t>We Are the Best</t>
  </si>
  <si>
    <t>Foxcatcher</t>
  </si>
  <si>
    <t>Interstellar</t>
  </si>
  <si>
    <t>Into the Woods</t>
  </si>
  <si>
    <t>Jennifer Aniston, Cake</t>
  </si>
  <si>
    <t>Naomi Watts, St. Vincent</t>
  </si>
  <si>
    <t>Meryl Streep, Into the Woods</t>
  </si>
  <si>
    <t>James Marsh, The Theory of Everything</t>
  </si>
  <si>
    <t>St Vincent</t>
  </si>
  <si>
    <t>Cake</t>
  </si>
  <si>
    <t>Still Alice</t>
  </si>
  <si>
    <t>The Judge</t>
  </si>
  <si>
    <t>Get on Up</t>
  </si>
  <si>
    <t>The Hobbit: The Battle of the Five Armies</t>
  </si>
  <si>
    <t>X-Men: Days of Future Past</t>
  </si>
  <si>
    <t>Pride</t>
  </si>
  <si>
    <t>Amy Adams, Big Eyes</t>
  </si>
  <si>
    <t>Emily Blunt, Into the Woods</t>
  </si>
  <si>
    <t>Helen Mirren, The Hundred Foot Journey</t>
  </si>
  <si>
    <t>Quvenzhané Wallis, Annie</t>
  </si>
  <si>
    <t>Bill Murray, St. Vincent</t>
  </si>
  <si>
    <t>Joaquin Phoenix, Inherent Vice</t>
  </si>
  <si>
    <t>Christoph Waltz, Big Eyes</t>
  </si>
  <si>
    <t>4</t>
  </si>
  <si>
    <t>Scarlett Johanson, Under the Skin</t>
  </si>
  <si>
    <t>5</t>
  </si>
  <si>
    <t>Calvary</t>
  </si>
  <si>
    <t>Dan Gilroy, Nightcrawler</t>
  </si>
  <si>
    <t>Wes Anderson, The Grand Budapest Hotel</t>
  </si>
  <si>
    <t>Christopher Nolan, Interstellar</t>
  </si>
  <si>
    <t>The Raid 2</t>
  </si>
  <si>
    <t>Gareth Evans, The Raid 2</t>
  </si>
  <si>
    <t>Ruben Östlund, Force Majeure</t>
  </si>
  <si>
    <t>Force Majeure</t>
  </si>
  <si>
    <t>The LEGO Movie</t>
  </si>
  <si>
    <t>Phil Lord &amp; Christopher Miller, The LEGO Movie</t>
  </si>
  <si>
    <t>The Guardians of the Galaxy</t>
  </si>
  <si>
    <t>Big Hero 6</t>
  </si>
  <si>
    <t>The Boxtrolls</t>
  </si>
  <si>
    <t>Goodbye to Language</t>
  </si>
  <si>
    <t>Captain America: The Winter Soldier</t>
  </si>
  <si>
    <t>Dawn of the Planet of the Apes</t>
  </si>
  <si>
    <t>Bennett Miller, Foxcatcher</t>
  </si>
  <si>
    <t>The book of Life</t>
  </si>
  <si>
    <t>How to Yrain Your Dragon 2</t>
  </si>
  <si>
    <t>The Hunger Games: Mockinjay Part 1</t>
  </si>
  <si>
    <t>Maleficent</t>
  </si>
  <si>
    <t>Jean-Luc Godard, Goodbye to Language</t>
  </si>
  <si>
    <t>Guardians of the Galaxy</t>
  </si>
  <si>
    <t>Paddington</t>
  </si>
  <si>
    <t>Imelda Staunton, Pride</t>
  </si>
  <si>
    <t>Tim Burton, Big Eyes</t>
  </si>
  <si>
    <t>Leviathan</t>
  </si>
  <si>
    <t>Andrey Zvyagintsev, Leviathan</t>
  </si>
  <si>
    <t>Big Eyes</t>
  </si>
  <si>
    <t>Bradley Cooper, American Sniper</t>
  </si>
  <si>
    <t>Sienna Miller, American Sniper</t>
  </si>
  <si>
    <t>14</t>
  </si>
  <si>
    <t>7</t>
  </si>
</sst>
</file>

<file path=xl/styles.xml><?xml version="1.0" encoding="utf-8"?>
<styleSheet xmlns="http://schemas.openxmlformats.org/spreadsheetml/2006/main">
  <numFmts count="7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BF&quot;;\-#,##0\ &quot;BF&quot;"/>
    <numFmt numFmtId="195" formatCode="#,##0\ &quot;BF&quot;;[Red]\-#,##0\ &quot;BF&quot;"/>
    <numFmt numFmtId="196" formatCode="#,##0.00\ &quot;BF&quot;;\-#,##0.00\ &quot;BF&quot;"/>
    <numFmt numFmtId="197" formatCode="#,##0.00\ &quot;BF&quot;;[Red]\-#,##0.00\ &quot;BF&quot;"/>
    <numFmt numFmtId="198" formatCode="_-* #,##0\ &quot;BF&quot;_-;\-* #,##0\ &quot;BF&quot;_-;_-* &quot;-&quot;\ &quot;BF&quot;_-;_-@_-"/>
    <numFmt numFmtId="199" formatCode="_-* #,##0\ _B_F_-;\-* #,##0\ _B_F_-;_-* &quot;-&quot;\ _B_F_-;_-@_-"/>
    <numFmt numFmtId="200" formatCode="_-* #,##0.00\ &quot;BF&quot;_-;\-* #,##0.00\ &quot;BF&quot;_-;_-* &quot;-&quot;??\ &quot;BF&quot;_-;_-@_-"/>
    <numFmt numFmtId="201" formatCode="_-* #,##0.00\ _B_F_-;\-* #,##0.00\ _B_F_-;_-* &quot;-&quot;??\ _B_F_-;_-@_-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#,##0\ &quot;FB&quot;;\-#,##0\ &quot;FB&quot;"/>
    <numFmt numFmtId="209" formatCode="#,##0\ &quot;FB&quot;;[Red]\-#,##0\ &quot;FB&quot;"/>
    <numFmt numFmtId="210" formatCode="#,##0.00\ &quot;FB&quot;;\-#,##0.00\ &quot;FB&quot;"/>
    <numFmt numFmtId="211" formatCode="#,##0.00\ &quot;FB&quot;;[Red]\-#,##0.00\ &quot;FB&quot;"/>
    <numFmt numFmtId="212" formatCode="_-* #,##0\ &quot;FB&quot;_-;\-* #,##0\ &quot;FB&quot;_-;_-* &quot;-&quot;\ &quot;FB&quot;_-;_-@_-"/>
    <numFmt numFmtId="213" formatCode="_-* #,##0\ _F_B_-;\-* #,##0\ _F_B_-;_-* &quot;-&quot;\ _F_B_-;_-@_-"/>
    <numFmt numFmtId="214" formatCode="_-* #,##0.00\ &quot;FB&quot;_-;\-* #,##0.00\ &quot;FB&quot;_-;_-* &quot;-&quot;??\ &quot;FB&quot;_-;_-@_-"/>
    <numFmt numFmtId="215" formatCode="_-* #,##0.00\ _F_B_-;\-* #,##0.00\ _F_B_-;_-* &quot;-&quot;??\ _F_B_-;_-@_-"/>
    <numFmt numFmtId="216" formatCode="0.000"/>
    <numFmt numFmtId="217" formatCode="0.0000"/>
    <numFmt numFmtId="218" formatCode="0.0"/>
    <numFmt numFmtId="219" formatCode="0.00000"/>
    <numFmt numFmtId="220" formatCode="0.000000"/>
    <numFmt numFmtId="221" formatCode="00000"/>
    <numFmt numFmtId="222" formatCode="&quot;Ja&quot;;&quot;Ja&quot;;&quot;Nee&quot;"/>
    <numFmt numFmtId="223" formatCode="&quot;Waar&quot;;&quot;Waar&quot;;&quot;Niet waar&quot;"/>
    <numFmt numFmtId="224" formatCode="&quot;Aan&quot;;&quot;Aan&quot;;&quot;Uit&quot;"/>
    <numFmt numFmtId="225" formatCode="[$€-2]\ #.##000_);[Red]\([$€-2]\ #.##000\)"/>
    <numFmt numFmtId="226" formatCode="0.0000000000000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63"/>
      <name val="Arial"/>
      <family val="2"/>
    </font>
    <font>
      <u val="single"/>
      <sz val="10"/>
      <color indexed="61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9" borderId="1" applyNumberFormat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25"/>
          <c:w val="0.97425"/>
          <c:h val="0.88475"/>
        </c:manualLayout>
      </c:layout>
      <c:barChart>
        <c:barDir val="col"/>
        <c:grouping val="clustered"/>
        <c:varyColors val="0"/>
        <c:axId val="36173652"/>
        <c:axId val="57127413"/>
      </c:bar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27413"/>
        <c:crosses val="autoZero"/>
        <c:auto val="0"/>
        <c:lblOffset val="100"/>
        <c:tickLblSkip val="1"/>
        <c:noMultiLvlLbl val="0"/>
      </c:catAx>
      <c:valAx>
        <c:axId val="5712741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73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775"/>
          <c:w val="0.97275"/>
          <c:h val="0.89525"/>
        </c:manualLayout>
      </c:layout>
      <c:barChart>
        <c:barDir val="col"/>
        <c:grouping val="clustered"/>
        <c:varyColors val="0"/>
        <c:axId val="44384670"/>
        <c:axId val="63917711"/>
      </c:bar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17711"/>
        <c:crosses val="autoZero"/>
        <c:auto val="0"/>
        <c:lblOffset val="100"/>
        <c:tickLblSkip val="1"/>
        <c:noMultiLvlLbl val="0"/>
      </c:catAx>
      <c:valAx>
        <c:axId val="6391771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84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8"/>
          <c:w val="0.97325"/>
          <c:h val="0.8945"/>
        </c:manualLayout>
      </c:layout>
      <c:barChart>
        <c:barDir val="col"/>
        <c:grouping val="clustered"/>
        <c:varyColors val="0"/>
        <c:axId val="38388488"/>
        <c:axId val="9952073"/>
      </c:barChart>
      <c:catAx>
        <c:axId val="383884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52073"/>
        <c:crosses val="autoZero"/>
        <c:auto val="0"/>
        <c:lblOffset val="100"/>
        <c:tickLblSkip val="1"/>
        <c:noMultiLvlLbl val="0"/>
      </c:catAx>
      <c:valAx>
        <c:axId val="99520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88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85725</xdr:rowOff>
    </xdr:from>
    <xdr:to>
      <xdr:col>10</xdr:col>
      <xdr:colOff>619125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523875" y="247650"/>
        <a:ext cx="77152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57150</xdr:rowOff>
    </xdr:from>
    <xdr:to>
      <xdr:col>11</xdr:col>
      <xdr:colOff>114300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600075" y="219075"/>
        <a:ext cx="78962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0</xdr:rowOff>
    </xdr:from>
    <xdr:to>
      <xdr:col>11</xdr:col>
      <xdr:colOff>219075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647700" y="161925"/>
        <a:ext cx="79533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50" zoomScaleNormal="150" workbookViewId="0" topLeftCell="A1">
      <selection activeCell="A1" sqref="A1:A8"/>
    </sheetView>
  </sheetViews>
  <sheetFormatPr defaultColWidth="11.57421875" defaultRowHeight="12.75"/>
  <cols>
    <col min="1" max="1" width="32.28125" style="0" customWidth="1"/>
    <col min="2" max="2" width="9.421875" style="0" customWidth="1"/>
    <col min="3" max="3" width="8.7109375" style="0" customWidth="1"/>
    <col min="4" max="4" width="8.8515625" style="0" customWidth="1"/>
    <col min="5" max="5" width="8.421875" style="0" customWidth="1"/>
    <col min="6" max="6" width="9.00390625" style="0" customWidth="1"/>
    <col min="7" max="16384" width="11.421875" style="0" customWidth="1"/>
  </cols>
  <sheetData>
    <row r="1" spans="1:7" ht="12">
      <c r="A1" s="9" t="s">
        <v>1</v>
      </c>
      <c r="B1">
        <f>3+1.5+1+3+1.5+1+3+1+2+2+1.5+3+1+3+1+1+1.5+2+1+1</f>
        <v>35</v>
      </c>
      <c r="C1">
        <v>20</v>
      </c>
      <c r="D1">
        <v>15</v>
      </c>
      <c r="E1">
        <v>7</v>
      </c>
      <c r="F1">
        <v>1</v>
      </c>
      <c r="G1">
        <f aca="true" t="shared" si="0" ref="G1:G32">IF(C1=0,0,IF(AND(F1&gt;0,D1&gt;1),B1+3,B1/2.5)+((C1-1)*0.02)+(D1*1.08)+(E1*0.33))</f>
        <v>56.89000000000001</v>
      </c>
    </row>
    <row r="2" spans="1:7" ht="12">
      <c r="A2" s="9" t="s">
        <v>6</v>
      </c>
      <c r="B2">
        <f>0.8+1+2+0.8+1+3+1+2+3+1.5+0.8+0.8+0.8+1.5+0.8+0.8+3+1+1+2+2</f>
        <v>30.600000000000005</v>
      </c>
      <c r="C2">
        <v>21</v>
      </c>
      <c r="D2">
        <v>10</v>
      </c>
      <c r="E2">
        <v>6</v>
      </c>
      <c r="F2">
        <v>1</v>
      </c>
      <c r="G2">
        <f t="shared" si="0"/>
        <v>46.78000000000001</v>
      </c>
    </row>
    <row r="3" spans="1:7" ht="12">
      <c r="A3" s="9" t="s">
        <v>18</v>
      </c>
      <c r="B3">
        <f>1+3+1+2+1+1.5+0.8+1.5+3+1+1+2+1+1</f>
        <v>20.8</v>
      </c>
      <c r="C3">
        <v>14</v>
      </c>
      <c r="D3">
        <v>13</v>
      </c>
      <c r="E3">
        <v>9</v>
      </c>
      <c r="F3">
        <v>1</v>
      </c>
      <c r="G3">
        <f t="shared" si="0"/>
        <v>41.07</v>
      </c>
    </row>
    <row r="4" spans="1:7" ht="12">
      <c r="A4" s="9" t="s">
        <v>13</v>
      </c>
      <c r="B4">
        <f>1+3+1+2+2+3+1+1+2+1</f>
        <v>17</v>
      </c>
      <c r="C4">
        <v>10</v>
      </c>
      <c r="D4">
        <v>10</v>
      </c>
      <c r="E4">
        <v>8</v>
      </c>
      <c r="F4">
        <v>1</v>
      </c>
      <c r="G4">
        <f t="shared" si="0"/>
        <v>33.62</v>
      </c>
    </row>
    <row r="5" spans="1:7" ht="12">
      <c r="A5" s="9" t="s">
        <v>14</v>
      </c>
      <c r="B5">
        <f>1+3+2+3+1+1</f>
        <v>11</v>
      </c>
      <c r="C5">
        <v>6</v>
      </c>
      <c r="D5">
        <v>7</v>
      </c>
      <c r="E5">
        <v>4</v>
      </c>
      <c r="F5">
        <v>1</v>
      </c>
      <c r="G5">
        <f t="shared" si="0"/>
        <v>22.98</v>
      </c>
    </row>
    <row r="6" spans="1:7" ht="12">
      <c r="A6" s="9" t="s">
        <v>52</v>
      </c>
      <c r="B6">
        <f>1.5+2+3+1+2+1+1.5</f>
        <v>12</v>
      </c>
      <c r="C6">
        <v>7</v>
      </c>
      <c r="D6">
        <v>5</v>
      </c>
      <c r="E6">
        <v>5</v>
      </c>
      <c r="F6">
        <v>1</v>
      </c>
      <c r="G6">
        <f t="shared" si="0"/>
        <v>22.169999999999998</v>
      </c>
    </row>
    <row r="7" spans="1:7" ht="12">
      <c r="A7" s="9" t="s">
        <v>12</v>
      </c>
      <c r="B7">
        <f>1+1+1+3+1+1+1</f>
        <v>9</v>
      </c>
      <c r="C7">
        <v>7</v>
      </c>
      <c r="D7">
        <v>8</v>
      </c>
      <c r="E7">
        <v>4</v>
      </c>
      <c r="F7">
        <v>1</v>
      </c>
      <c r="G7">
        <f t="shared" si="0"/>
        <v>22.08</v>
      </c>
    </row>
    <row r="8" spans="1:7" ht="12">
      <c r="A8" s="9" t="s">
        <v>17</v>
      </c>
      <c r="B8">
        <f>1+1+0.8+0.8+0.8+0.8+0.8+3+1</f>
        <v>10</v>
      </c>
      <c r="C8">
        <v>9</v>
      </c>
      <c r="D8">
        <v>5</v>
      </c>
      <c r="E8">
        <v>4</v>
      </c>
      <c r="F8">
        <v>1</v>
      </c>
      <c r="G8">
        <f t="shared" si="0"/>
        <v>19.880000000000003</v>
      </c>
    </row>
    <row r="9" spans="1:7" ht="12">
      <c r="A9" s="9" t="s">
        <v>82</v>
      </c>
      <c r="B9">
        <f>2+3+1+1</f>
        <v>7</v>
      </c>
      <c r="C9">
        <v>4</v>
      </c>
      <c r="D9">
        <v>4</v>
      </c>
      <c r="E9">
        <v>4</v>
      </c>
      <c r="F9">
        <v>1</v>
      </c>
      <c r="G9">
        <f t="shared" si="0"/>
        <v>15.700000000000001</v>
      </c>
    </row>
    <row r="10" spans="1:7" ht="12">
      <c r="A10" s="9" t="s">
        <v>16</v>
      </c>
      <c r="B10">
        <f>1+1+2+2+1</f>
        <v>7</v>
      </c>
      <c r="C10">
        <v>5</v>
      </c>
      <c r="D10">
        <v>5</v>
      </c>
      <c r="E10">
        <v>0</v>
      </c>
      <c r="F10">
        <v>1</v>
      </c>
      <c r="G10">
        <f t="shared" si="0"/>
        <v>15.48</v>
      </c>
    </row>
    <row r="11" spans="1:7" ht="12">
      <c r="A11" s="9" t="s">
        <v>50</v>
      </c>
      <c r="B11">
        <f>1+0.8+1.5+3+1+1</f>
        <v>8.3</v>
      </c>
      <c r="C11">
        <v>6</v>
      </c>
      <c r="D11">
        <v>8</v>
      </c>
      <c r="E11">
        <v>4</v>
      </c>
      <c r="G11">
        <f t="shared" si="0"/>
        <v>13.38</v>
      </c>
    </row>
    <row r="12" spans="1:7" ht="12">
      <c r="A12" s="9" t="s">
        <v>7</v>
      </c>
      <c r="B12">
        <f>0.8+0.8+1+1.5</f>
        <v>4.1</v>
      </c>
      <c r="C12">
        <v>4</v>
      </c>
      <c r="D12">
        <v>2</v>
      </c>
      <c r="F12">
        <v>1</v>
      </c>
      <c r="G12">
        <f t="shared" si="0"/>
        <v>9.32</v>
      </c>
    </row>
    <row r="13" spans="1:7" ht="12">
      <c r="A13" s="9" t="s">
        <v>62</v>
      </c>
      <c r="B13">
        <f>1</f>
        <v>1</v>
      </c>
      <c r="C13">
        <v>1</v>
      </c>
      <c r="D13">
        <v>3</v>
      </c>
      <c r="E13">
        <v>3</v>
      </c>
      <c r="F13">
        <v>1</v>
      </c>
      <c r="G13">
        <f t="shared" si="0"/>
        <v>8.23</v>
      </c>
    </row>
    <row r="14" spans="1:7" ht="12">
      <c r="A14" s="9" t="s">
        <v>115</v>
      </c>
      <c r="B14">
        <f>0.8+1</f>
        <v>1.8</v>
      </c>
      <c r="C14">
        <v>2</v>
      </c>
      <c r="D14">
        <v>2</v>
      </c>
      <c r="E14">
        <v>2</v>
      </c>
      <c r="F14">
        <v>1</v>
      </c>
      <c r="G14">
        <f t="shared" si="0"/>
        <v>7.64</v>
      </c>
    </row>
    <row r="15" spans="1:7" ht="12">
      <c r="A15" s="9" t="s">
        <v>84</v>
      </c>
      <c r="B15">
        <f>1+0.75</f>
        <v>1.75</v>
      </c>
      <c r="C15">
        <v>2</v>
      </c>
      <c r="D15">
        <v>2</v>
      </c>
      <c r="E15">
        <v>2</v>
      </c>
      <c r="F15">
        <v>1</v>
      </c>
      <c r="G15">
        <f t="shared" si="0"/>
        <v>7.59</v>
      </c>
    </row>
    <row r="16" spans="1:7" ht="12">
      <c r="A16" s="9" t="s">
        <v>71</v>
      </c>
      <c r="B16">
        <f>1+1</f>
        <v>2</v>
      </c>
      <c r="C16">
        <v>2</v>
      </c>
      <c r="D16">
        <v>2</v>
      </c>
      <c r="F16">
        <v>1</v>
      </c>
      <c r="G16">
        <f t="shared" si="0"/>
        <v>7.18</v>
      </c>
    </row>
    <row r="17" spans="1:7" ht="12">
      <c r="A17" s="9" t="s">
        <v>54</v>
      </c>
      <c r="B17">
        <f>3</f>
        <v>3</v>
      </c>
      <c r="C17">
        <v>1</v>
      </c>
      <c r="D17">
        <v>1</v>
      </c>
      <c r="G17">
        <f t="shared" si="0"/>
        <v>2.2800000000000002</v>
      </c>
    </row>
    <row r="18" spans="1:7" ht="12">
      <c r="A18" s="9" t="s">
        <v>70</v>
      </c>
      <c r="B18">
        <f>1+0.8</f>
        <v>1.8</v>
      </c>
      <c r="C18">
        <v>2</v>
      </c>
      <c r="D18">
        <v>1</v>
      </c>
      <c r="F18">
        <v>1</v>
      </c>
      <c r="G18">
        <f t="shared" si="0"/>
        <v>1.82</v>
      </c>
    </row>
    <row r="19" spans="1:7" ht="12">
      <c r="A19" s="9" t="s">
        <v>83</v>
      </c>
      <c r="B19">
        <f>1</f>
        <v>1</v>
      </c>
      <c r="C19">
        <v>1</v>
      </c>
      <c r="D19">
        <v>1</v>
      </c>
      <c r="E19">
        <v>1</v>
      </c>
      <c r="F19">
        <v>1</v>
      </c>
      <c r="G19">
        <f t="shared" si="0"/>
        <v>1.81</v>
      </c>
    </row>
    <row r="20" spans="1:7" ht="12">
      <c r="A20" s="9" t="s">
        <v>51</v>
      </c>
      <c r="B20">
        <f>0.8</f>
        <v>0.8</v>
      </c>
      <c r="C20">
        <v>1</v>
      </c>
      <c r="D20">
        <v>1</v>
      </c>
      <c r="E20">
        <v>1</v>
      </c>
      <c r="F20">
        <v>1</v>
      </c>
      <c r="G20">
        <f t="shared" si="0"/>
        <v>1.7300000000000002</v>
      </c>
    </row>
    <row r="21" spans="1:7" ht="12">
      <c r="A21" s="9" t="s">
        <v>89</v>
      </c>
      <c r="B21">
        <f>0.75</f>
        <v>0.75</v>
      </c>
      <c r="C21">
        <v>1</v>
      </c>
      <c r="D21">
        <v>1</v>
      </c>
      <c r="E21">
        <v>1</v>
      </c>
      <c r="F21">
        <v>1</v>
      </c>
      <c r="G21">
        <f t="shared" si="0"/>
        <v>1.7100000000000002</v>
      </c>
    </row>
    <row r="22" spans="1:7" ht="12">
      <c r="A22" s="9" t="s">
        <v>120</v>
      </c>
      <c r="B22">
        <f>1.5</f>
        <v>1.5</v>
      </c>
      <c r="C22">
        <v>1</v>
      </c>
      <c r="D22">
        <v>1</v>
      </c>
      <c r="F22">
        <v>1</v>
      </c>
      <c r="G22">
        <f t="shared" si="0"/>
        <v>1.6800000000000002</v>
      </c>
    </row>
    <row r="23" spans="1:7" ht="12">
      <c r="A23" s="9" t="s">
        <v>69</v>
      </c>
      <c r="B23">
        <f>1</f>
        <v>1</v>
      </c>
      <c r="C23">
        <v>1</v>
      </c>
      <c r="D23">
        <v>1</v>
      </c>
      <c r="F23">
        <v>1</v>
      </c>
      <c r="G23">
        <f t="shared" si="0"/>
        <v>1.48</v>
      </c>
    </row>
    <row r="24" spans="1:7" ht="12">
      <c r="A24" s="9" t="s">
        <v>96</v>
      </c>
      <c r="B24">
        <f>0.75</f>
        <v>0.75</v>
      </c>
      <c r="C24">
        <v>1</v>
      </c>
      <c r="D24">
        <v>1</v>
      </c>
      <c r="F24">
        <v>1</v>
      </c>
      <c r="G24">
        <f t="shared" si="0"/>
        <v>1.3800000000000001</v>
      </c>
    </row>
    <row r="25" spans="1:7" ht="12">
      <c r="A25" s="9" t="s">
        <v>114</v>
      </c>
      <c r="B25">
        <f>0.8+0.8+0.8+0.8</f>
        <v>3.2</v>
      </c>
      <c r="C25">
        <v>4</v>
      </c>
      <c r="F25">
        <v>1</v>
      </c>
      <c r="G25">
        <f t="shared" si="0"/>
        <v>1.34</v>
      </c>
    </row>
    <row r="26" spans="1:7" ht="12">
      <c r="A26" s="9" t="s">
        <v>15</v>
      </c>
      <c r="B26">
        <f>1</f>
        <v>1</v>
      </c>
      <c r="C26">
        <v>1</v>
      </c>
      <c r="E26">
        <v>1</v>
      </c>
      <c r="F26">
        <v>1</v>
      </c>
      <c r="G26">
        <f t="shared" si="0"/>
        <v>0.73</v>
      </c>
    </row>
    <row r="27" spans="1:7" ht="12">
      <c r="A27" s="9" t="s">
        <v>91</v>
      </c>
      <c r="B27">
        <f>1</f>
        <v>1</v>
      </c>
      <c r="C27">
        <v>1</v>
      </c>
      <c r="E27">
        <v>1</v>
      </c>
      <c r="F27">
        <v>1</v>
      </c>
      <c r="G27">
        <f t="shared" si="0"/>
        <v>0.73</v>
      </c>
    </row>
    <row r="28" spans="1:7" ht="12">
      <c r="A28" s="9" t="s">
        <v>127</v>
      </c>
      <c r="B28">
        <f>1.5</f>
        <v>1.5</v>
      </c>
      <c r="C28">
        <v>1</v>
      </c>
      <c r="E28">
        <v>0</v>
      </c>
      <c r="F28">
        <v>1</v>
      </c>
      <c r="G28">
        <f t="shared" si="0"/>
        <v>0.6</v>
      </c>
    </row>
    <row r="29" spans="1:7" ht="12">
      <c r="A29" s="9" t="s">
        <v>19</v>
      </c>
      <c r="B29">
        <f>1</f>
        <v>1</v>
      </c>
      <c r="C29">
        <v>1</v>
      </c>
      <c r="F29">
        <v>1</v>
      </c>
      <c r="G29">
        <f t="shared" si="0"/>
        <v>0.4</v>
      </c>
    </row>
    <row r="30" spans="1:7" ht="12">
      <c r="A30" s="9" t="s">
        <v>135</v>
      </c>
      <c r="B30">
        <f>1</f>
        <v>1</v>
      </c>
      <c r="C30">
        <v>1</v>
      </c>
      <c r="F30">
        <v>1</v>
      </c>
      <c r="G30">
        <f t="shared" si="0"/>
        <v>0.4</v>
      </c>
    </row>
    <row r="31" spans="1:7" ht="12">
      <c r="A31" s="9" t="s">
        <v>59</v>
      </c>
      <c r="B31">
        <f>0.8</f>
        <v>0.8</v>
      </c>
      <c r="C31">
        <v>1</v>
      </c>
      <c r="F31">
        <v>1</v>
      </c>
      <c r="G31">
        <f t="shared" si="0"/>
        <v>0.32</v>
      </c>
    </row>
    <row r="32" spans="1:7" ht="12">
      <c r="A32" s="9" t="s">
        <v>111</v>
      </c>
      <c r="B32">
        <f>0.8</f>
        <v>0.8</v>
      </c>
      <c r="C32">
        <v>1</v>
      </c>
      <c r="F32">
        <v>1</v>
      </c>
      <c r="G32">
        <f t="shared" si="0"/>
        <v>0.32</v>
      </c>
    </row>
    <row r="33" spans="1:7" ht="12">
      <c r="A33" s="9" t="s">
        <v>133</v>
      </c>
      <c r="B33">
        <f>0.8</f>
        <v>0.8</v>
      </c>
      <c r="C33">
        <v>1</v>
      </c>
      <c r="F33">
        <v>1</v>
      </c>
      <c r="G33">
        <f aca="true" t="shared" si="1" ref="G33:G49">IF(C33=0,0,IF(AND(F33&gt;0,D33&gt;1),B33+3,B33/2.5)+((C33-1)*0.02)+(D33*1.08)+(E33*0.33))</f>
        <v>0.32</v>
      </c>
    </row>
    <row r="34" spans="1:7" ht="12">
      <c r="A34" s="9" t="s">
        <v>61</v>
      </c>
      <c r="D34">
        <v>1</v>
      </c>
      <c r="E34">
        <v>1</v>
      </c>
      <c r="F34">
        <v>1</v>
      </c>
      <c r="G34">
        <f t="shared" si="1"/>
        <v>0</v>
      </c>
    </row>
    <row r="35" spans="1:7" ht="12">
      <c r="A35" s="9" t="s">
        <v>90</v>
      </c>
      <c r="E35">
        <v>1</v>
      </c>
      <c r="F35">
        <v>1</v>
      </c>
      <c r="G35">
        <f t="shared" si="1"/>
        <v>0</v>
      </c>
    </row>
    <row r="36" spans="1:7" ht="12">
      <c r="A36" s="9" t="s">
        <v>92</v>
      </c>
      <c r="E36">
        <v>1</v>
      </c>
      <c r="F36">
        <v>1</v>
      </c>
      <c r="G36">
        <f t="shared" si="1"/>
        <v>0</v>
      </c>
    </row>
    <row r="37" spans="1:7" ht="12">
      <c r="A37" s="9" t="s">
        <v>93</v>
      </c>
      <c r="E37">
        <v>1</v>
      </c>
      <c r="F37">
        <v>1</v>
      </c>
      <c r="G37">
        <f t="shared" si="1"/>
        <v>0</v>
      </c>
    </row>
    <row r="38" spans="1:7" ht="12">
      <c r="A38" s="9" t="s">
        <v>94</v>
      </c>
      <c r="E38">
        <v>1</v>
      </c>
      <c r="F38">
        <v>1</v>
      </c>
      <c r="G38">
        <f t="shared" si="1"/>
        <v>0</v>
      </c>
    </row>
    <row r="39" spans="1:7" ht="12">
      <c r="A39" s="9" t="s">
        <v>95</v>
      </c>
      <c r="E39">
        <v>1</v>
      </c>
      <c r="F39">
        <v>1</v>
      </c>
      <c r="G39">
        <f t="shared" si="1"/>
        <v>0</v>
      </c>
    </row>
    <row r="40" spans="1:7" ht="12">
      <c r="A40" s="9" t="s">
        <v>53</v>
      </c>
      <c r="D40">
        <v>1</v>
      </c>
      <c r="E40">
        <v>2</v>
      </c>
      <c r="F40">
        <v>1</v>
      </c>
      <c r="G40">
        <f t="shared" si="1"/>
        <v>0</v>
      </c>
    </row>
    <row r="41" spans="1:7" ht="12">
      <c r="A41" s="9" t="s">
        <v>79</v>
      </c>
      <c r="D41">
        <v>1</v>
      </c>
      <c r="F41">
        <v>1</v>
      </c>
      <c r="G41">
        <f t="shared" si="1"/>
        <v>0</v>
      </c>
    </row>
    <row r="42" spans="1:7" ht="12">
      <c r="A42" s="9" t="s">
        <v>117</v>
      </c>
      <c r="E42">
        <v>3</v>
      </c>
      <c r="F42">
        <v>1</v>
      </c>
      <c r="G42">
        <f t="shared" si="1"/>
        <v>0</v>
      </c>
    </row>
    <row r="43" spans="1:7" ht="12">
      <c r="A43" s="9" t="s">
        <v>118</v>
      </c>
      <c r="E43">
        <v>2</v>
      </c>
      <c r="F43">
        <v>1</v>
      </c>
      <c r="G43">
        <f t="shared" si="1"/>
        <v>0</v>
      </c>
    </row>
    <row r="44" spans="1:7" ht="12">
      <c r="A44" s="9" t="s">
        <v>119</v>
      </c>
      <c r="E44">
        <v>2</v>
      </c>
      <c r="F44">
        <v>1</v>
      </c>
      <c r="G44">
        <f t="shared" si="1"/>
        <v>0</v>
      </c>
    </row>
    <row r="45" spans="1:7" ht="12">
      <c r="A45" s="9" t="s">
        <v>121</v>
      </c>
      <c r="F45">
        <v>1</v>
      </c>
      <c r="G45">
        <f t="shared" si="1"/>
        <v>0</v>
      </c>
    </row>
    <row r="46" spans="1:7" ht="12">
      <c r="A46" s="9" t="s">
        <v>122</v>
      </c>
      <c r="F46">
        <v>1</v>
      </c>
      <c r="G46">
        <f t="shared" si="1"/>
        <v>0</v>
      </c>
    </row>
    <row r="47" spans="1:7" ht="12">
      <c r="A47" s="9" t="s">
        <v>124</v>
      </c>
      <c r="E47">
        <v>1</v>
      </c>
      <c r="F47">
        <v>1</v>
      </c>
      <c r="G47">
        <f t="shared" si="1"/>
        <v>0</v>
      </c>
    </row>
    <row r="48" spans="1:7" ht="12">
      <c r="A48" s="9" t="s">
        <v>125</v>
      </c>
      <c r="E48">
        <v>1</v>
      </c>
      <c r="F48">
        <v>1</v>
      </c>
      <c r="G48">
        <f t="shared" si="1"/>
        <v>0</v>
      </c>
    </row>
    <row r="49" spans="1:7" ht="12">
      <c r="A49" s="9" t="s">
        <v>126</v>
      </c>
      <c r="E49">
        <v>0</v>
      </c>
      <c r="F49">
        <v>1</v>
      </c>
      <c r="G49">
        <f t="shared" si="1"/>
        <v>0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3" sqref="H23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41.140625" style="0" customWidth="1"/>
    <col min="2" max="6" width="7.7109375" style="0" customWidth="1"/>
    <col min="7" max="16384" width="11.421875" style="0" customWidth="1"/>
  </cols>
  <sheetData>
    <row r="1" spans="1:7" ht="12">
      <c r="A1" s="9" t="s">
        <v>2</v>
      </c>
      <c r="B1">
        <f>3+1+3+1+1.5+3+1.5+1.5+1.5+1.5+1+1+1+1.5+4+1</f>
        <v>28</v>
      </c>
      <c r="C1">
        <v>16</v>
      </c>
      <c r="D1">
        <v>8</v>
      </c>
      <c r="E1">
        <v>7</v>
      </c>
      <c r="F1">
        <v>1</v>
      </c>
      <c r="G1">
        <f aca="true" t="shared" si="0" ref="G1:G28">IF((F1&gt;0),B1+3,B1/2.5)+(C1-1)*0.111+D1*0.35+E1*0.222</f>
        <v>37.019</v>
      </c>
    </row>
    <row r="2" spans="1:7" ht="12">
      <c r="A2" s="9" t="s">
        <v>109</v>
      </c>
      <c r="B2">
        <f>0.8+2+0.8+1+1+2+2+1+0.8+0.8+0.8+0.8+0.8+1+1+1+4+1</f>
        <v>22.6</v>
      </c>
      <c r="C2">
        <v>18</v>
      </c>
      <c r="D2">
        <v>1</v>
      </c>
      <c r="E2">
        <v>6</v>
      </c>
      <c r="F2">
        <v>1</v>
      </c>
      <c r="G2">
        <f t="shared" si="0"/>
        <v>29.169000000000004</v>
      </c>
    </row>
    <row r="3" spans="1:7" ht="12">
      <c r="A3" s="5" t="s">
        <v>20</v>
      </c>
      <c r="B3">
        <f>1+1+2+1+1.5+0.8+1+1+1+4</f>
        <v>14.3</v>
      </c>
      <c r="C3">
        <v>10</v>
      </c>
      <c r="D3">
        <v>2</v>
      </c>
      <c r="E3">
        <v>9</v>
      </c>
      <c r="F3">
        <v>1</v>
      </c>
      <c r="G3">
        <f t="shared" si="0"/>
        <v>20.997</v>
      </c>
    </row>
    <row r="4" spans="1:7" ht="12">
      <c r="A4" s="9" t="s">
        <v>22</v>
      </c>
      <c r="B4">
        <f>1+2+1+0.8+0.8+0.8+0.8+0.8+2+1+1</f>
        <v>12</v>
      </c>
      <c r="C4">
        <v>11</v>
      </c>
      <c r="E4">
        <v>4</v>
      </c>
      <c r="F4">
        <v>1</v>
      </c>
      <c r="G4">
        <f t="shared" si="0"/>
        <v>16.998</v>
      </c>
    </row>
    <row r="5" spans="1:7" ht="12">
      <c r="A5" s="9" t="s">
        <v>23</v>
      </c>
      <c r="B5">
        <f>1+1+2+1+1+4+1</f>
        <v>11</v>
      </c>
      <c r="C5">
        <v>7</v>
      </c>
      <c r="E5">
        <v>8</v>
      </c>
      <c r="F5">
        <v>1</v>
      </c>
      <c r="G5">
        <f t="shared" si="0"/>
        <v>16.442</v>
      </c>
    </row>
    <row r="6" spans="1:7" ht="12">
      <c r="A6" s="9" t="s">
        <v>55</v>
      </c>
      <c r="B6">
        <f>3+1+1+4+1</f>
        <v>10</v>
      </c>
      <c r="C6">
        <v>5</v>
      </c>
      <c r="D6">
        <v>1</v>
      </c>
      <c r="E6">
        <v>5</v>
      </c>
      <c r="F6">
        <v>1</v>
      </c>
      <c r="G6">
        <f t="shared" si="0"/>
        <v>14.904</v>
      </c>
    </row>
    <row r="7" spans="1:7" ht="12">
      <c r="A7" s="9" t="s">
        <v>123</v>
      </c>
      <c r="B7">
        <f>1+1+4</f>
        <v>6</v>
      </c>
      <c r="C7">
        <v>3</v>
      </c>
      <c r="E7">
        <v>4</v>
      </c>
      <c r="F7">
        <v>1</v>
      </c>
      <c r="G7">
        <f t="shared" si="0"/>
        <v>10.11</v>
      </c>
    </row>
    <row r="8" spans="1:7" ht="12">
      <c r="A8" s="9" t="s">
        <v>21</v>
      </c>
      <c r="B8">
        <f>1+1+1+1+1</f>
        <v>5</v>
      </c>
      <c r="C8">
        <v>5</v>
      </c>
      <c r="E8">
        <v>4</v>
      </c>
      <c r="F8">
        <v>1</v>
      </c>
      <c r="G8">
        <f t="shared" si="0"/>
        <v>9.332</v>
      </c>
    </row>
    <row r="9" spans="1:7" ht="12">
      <c r="A9" s="9" t="s">
        <v>88</v>
      </c>
      <c r="B9">
        <f>1+1-0.8+1+1+1</f>
        <v>4.2</v>
      </c>
      <c r="C9">
        <v>5</v>
      </c>
      <c r="D9">
        <v>1</v>
      </c>
      <c r="E9">
        <v>4</v>
      </c>
      <c r="F9">
        <v>1</v>
      </c>
      <c r="G9">
        <f t="shared" si="0"/>
        <v>8.882</v>
      </c>
    </row>
    <row r="10" spans="1:7" ht="12">
      <c r="A10" s="9" t="s">
        <v>24</v>
      </c>
      <c r="B10">
        <f>1+1+2-0.8</f>
        <v>3.2</v>
      </c>
      <c r="C10">
        <v>3</v>
      </c>
      <c r="F10">
        <v>1</v>
      </c>
      <c r="G10">
        <f t="shared" si="0"/>
        <v>6.422000000000001</v>
      </c>
    </row>
    <row r="11" spans="1:7" ht="12">
      <c r="A11" s="9" t="s">
        <v>8</v>
      </c>
      <c r="B11">
        <f>0.8+0.8+1.5-0.8</f>
        <v>2.3</v>
      </c>
      <c r="C11">
        <v>3</v>
      </c>
      <c r="F11">
        <v>1</v>
      </c>
      <c r="G11">
        <f t="shared" si="0"/>
        <v>5.522</v>
      </c>
    </row>
    <row r="12" spans="1:7" ht="12">
      <c r="A12" s="9" t="s">
        <v>116</v>
      </c>
      <c r="B12">
        <f>0.8-0.8</f>
        <v>0</v>
      </c>
      <c r="C12">
        <v>1</v>
      </c>
      <c r="E12">
        <v>1</v>
      </c>
      <c r="F12">
        <v>1</v>
      </c>
      <c r="G12">
        <f t="shared" si="0"/>
        <v>3.222</v>
      </c>
    </row>
    <row r="13" spans="1:7" ht="12">
      <c r="A13" s="9" t="s">
        <v>108</v>
      </c>
      <c r="B13">
        <f>0.8+1.5+1+1</f>
        <v>4.3</v>
      </c>
      <c r="C13">
        <v>4</v>
      </c>
      <c r="E13">
        <v>4</v>
      </c>
      <c r="G13">
        <f t="shared" si="0"/>
        <v>2.941</v>
      </c>
    </row>
    <row r="14" spans="1:7" ht="12">
      <c r="A14" s="9" t="s">
        <v>10</v>
      </c>
      <c r="B14">
        <f>1+0.8-0.8</f>
        <v>1</v>
      </c>
      <c r="C14">
        <v>2</v>
      </c>
      <c r="D14">
        <v>2</v>
      </c>
      <c r="G14">
        <f t="shared" si="0"/>
        <v>1.2109999999999999</v>
      </c>
    </row>
    <row r="15" spans="1:7" ht="12">
      <c r="A15" s="9" t="s">
        <v>64</v>
      </c>
      <c r="B15">
        <f>1-0.8</f>
        <v>0.19999999999999996</v>
      </c>
      <c r="C15">
        <v>1</v>
      </c>
      <c r="D15">
        <v>2</v>
      </c>
      <c r="E15">
        <v>1</v>
      </c>
      <c r="G15">
        <f t="shared" si="0"/>
        <v>1.002</v>
      </c>
    </row>
    <row r="16" spans="1:7" ht="12">
      <c r="A16" s="9" t="s">
        <v>113</v>
      </c>
      <c r="B16">
        <f>0.8+0.8+0.8-0.8</f>
        <v>1.6000000000000003</v>
      </c>
      <c r="C16">
        <v>3</v>
      </c>
      <c r="G16">
        <f t="shared" si="0"/>
        <v>0.8620000000000001</v>
      </c>
    </row>
    <row r="17" spans="1:7" ht="12">
      <c r="A17" s="9" t="s">
        <v>9</v>
      </c>
      <c r="D17">
        <v>2</v>
      </c>
      <c r="E17">
        <v>1</v>
      </c>
      <c r="G17">
        <f t="shared" si="0"/>
        <v>0.8109999999999999</v>
      </c>
    </row>
    <row r="18" spans="1:7" ht="12">
      <c r="A18" s="9" t="s">
        <v>58</v>
      </c>
      <c r="B18">
        <f>0.8</f>
        <v>0.8</v>
      </c>
      <c r="C18">
        <v>1</v>
      </c>
      <c r="E18">
        <v>1</v>
      </c>
      <c r="G18">
        <f t="shared" si="0"/>
        <v>0.542</v>
      </c>
    </row>
    <row r="19" spans="1:7" ht="12">
      <c r="A19" s="9" t="s">
        <v>128</v>
      </c>
      <c r="B19">
        <f>1-0.8</f>
        <v>0.19999999999999996</v>
      </c>
      <c r="C19">
        <v>1</v>
      </c>
      <c r="D19">
        <v>1</v>
      </c>
      <c r="G19">
        <f t="shared" si="0"/>
        <v>0.42999999999999994</v>
      </c>
    </row>
    <row r="20" spans="1:7" ht="12">
      <c r="A20" s="9" t="s">
        <v>110</v>
      </c>
      <c r="B20">
        <f>1-0.8</f>
        <v>0.19999999999999996</v>
      </c>
      <c r="C20">
        <v>1</v>
      </c>
      <c r="E20">
        <v>1</v>
      </c>
      <c r="G20">
        <f t="shared" si="0"/>
        <v>0.302</v>
      </c>
    </row>
    <row r="21" spans="1:7" ht="12">
      <c r="A21" s="9" t="s">
        <v>63</v>
      </c>
      <c r="B21">
        <v>-0.8</v>
      </c>
      <c r="D21">
        <v>2</v>
      </c>
      <c r="G21">
        <f t="shared" si="0"/>
        <v>0.26899999999999996</v>
      </c>
    </row>
    <row r="22" spans="1:7" ht="12">
      <c r="A22" s="9" t="s">
        <v>11</v>
      </c>
      <c r="B22">
        <v>-0.8</v>
      </c>
      <c r="D22">
        <v>2</v>
      </c>
      <c r="G22">
        <f t="shared" si="0"/>
        <v>0.26899999999999996</v>
      </c>
    </row>
    <row r="23" spans="1:7" ht="12">
      <c r="A23" s="9" t="s">
        <v>72</v>
      </c>
      <c r="B23">
        <f>1-0.8</f>
        <v>0.19999999999999996</v>
      </c>
      <c r="C23">
        <v>1</v>
      </c>
      <c r="G23">
        <f t="shared" si="0"/>
        <v>0.07999999999999999</v>
      </c>
    </row>
    <row r="24" spans="1:7" ht="12">
      <c r="A24" s="9" t="s">
        <v>60</v>
      </c>
      <c r="B24">
        <f>0.8-0.8</f>
        <v>0</v>
      </c>
      <c r="C24">
        <v>1</v>
      </c>
      <c r="G24">
        <f t="shared" si="0"/>
        <v>0</v>
      </c>
    </row>
    <row r="25" spans="1:7" ht="12">
      <c r="A25" s="9" t="s">
        <v>112</v>
      </c>
      <c r="B25">
        <f>0.8-0.8</f>
        <v>0</v>
      </c>
      <c r="C25">
        <v>1</v>
      </c>
      <c r="G25">
        <f t="shared" si="0"/>
        <v>0</v>
      </c>
    </row>
    <row r="26" spans="1:7" ht="12">
      <c r="A26" s="9" t="s">
        <v>134</v>
      </c>
      <c r="B26">
        <f>0.8-0.8</f>
        <v>0</v>
      </c>
      <c r="C26">
        <v>1</v>
      </c>
      <c r="G26">
        <f t="shared" si="0"/>
        <v>0</v>
      </c>
    </row>
    <row r="27" spans="1:7" ht="12">
      <c r="A27" s="9" t="s">
        <v>65</v>
      </c>
      <c r="B27">
        <v>-0.8</v>
      </c>
      <c r="D27">
        <v>1</v>
      </c>
      <c r="G27">
        <f t="shared" si="0"/>
        <v>-0.08100000000000002</v>
      </c>
    </row>
    <row r="28" spans="1:7" ht="12">
      <c r="A28" s="9" t="s">
        <v>132</v>
      </c>
      <c r="B28">
        <v>-0.8</v>
      </c>
      <c r="D28">
        <v>1</v>
      </c>
      <c r="G28">
        <f t="shared" si="0"/>
        <v>-0.08100000000000002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39.7109375" style="0" customWidth="1"/>
    <col min="2" max="16384" width="11.421875" style="0" customWidth="1"/>
  </cols>
  <sheetData>
    <row r="1" spans="1:4" ht="12">
      <c r="A1" t="s">
        <v>28</v>
      </c>
      <c r="B1">
        <f>1+3+2+1.5+4+3+1.5+1.5+1.5+1.5+1+1</f>
        <v>22.5</v>
      </c>
      <c r="C1">
        <v>12</v>
      </c>
      <c r="D1">
        <f aca="true" t="shared" si="0" ref="D1:D8">B1+(0.11*(C1-1))</f>
        <v>23.71</v>
      </c>
    </row>
    <row r="2" spans="1:4" ht="12">
      <c r="A2" t="s">
        <v>27</v>
      </c>
      <c r="B2">
        <f>1+1+4+2+1+1.5+1</f>
        <v>11.5</v>
      </c>
      <c r="C2">
        <v>7</v>
      </c>
      <c r="D2">
        <f t="shared" si="0"/>
        <v>12.16</v>
      </c>
    </row>
    <row r="3" spans="1:4" ht="12">
      <c r="A3" t="s">
        <v>25</v>
      </c>
      <c r="B3">
        <f>1+4+2+1+1+1</f>
        <v>10</v>
      </c>
      <c r="C3">
        <v>6</v>
      </c>
      <c r="D3">
        <f t="shared" si="0"/>
        <v>10.55</v>
      </c>
    </row>
    <row r="4" spans="1:4" ht="12">
      <c r="A4" t="s">
        <v>26</v>
      </c>
      <c r="B4">
        <f>1+4+3+1+1</f>
        <v>10</v>
      </c>
      <c r="C4">
        <v>5</v>
      </c>
      <c r="D4">
        <f t="shared" si="0"/>
        <v>10.44</v>
      </c>
    </row>
    <row r="5" spans="1:4" ht="12">
      <c r="A5" t="s">
        <v>30</v>
      </c>
      <c r="B5">
        <f>1+4+2+1</f>
        <v>8</v>
      </c>
      <c r="C5">
        <v>4</v>
      </c>
      <c r="D5">
        <f t="shared" si="0"/>
        <v>8.33</v>
      </c>
    </row>
    <row r="6" spans="1:4" ht="12">
      <c r="A6" t="s">
        <v>73</v>
      </c>
      <c r="B6">
        <f>1+2+1+2+1</f>
        <v>7</v>
      </c>
      <c r="C6">
        <v>5</v>
      </c>
      <c r="D6">
        <f t="shared" si="0"/>
        <v>7.44</v>
      </c>
    </row>
    <row r="7" spans="1:4" ht="12">
      <c r="A7" t="s">
        <v>31</v>
      </c>
      <c r="B7">
        <f>1+2+1</f>
        <v>4</v>
      </c>
      <c r="C7">
        <v>4</v>
      </c>
      <c r="D7">
        <f t="shared" si="0"/>
        <v>4.33</v>
      </c>
    </row>
    <row r="8" spans="1:4" ht="12">
      <c r="A8" t="s">
        <v>136</v>
      </c>
      <c r="B8">
        <f>2+1</f>
        <v>3</v>
      </c>
      <c r="C8">
        <v>2</v>
      </c>
      <c r="D8">
        <f t="shared" si="0"/>
        <v>3.11</v>
      </c>
    </row>
    <row r="9" spans="1:4" ht="12">
      <c r="A9" t="s">
        <v>3</v>
      </c>
      <c r="B9">
        <f>3+1+1.5+1.5</f>
        <v>7</v>
      </c>
      <c r="C9">
        <v>4</v>
      </c>
      <c r="D9">
        <f>B9/3.3+(0.11*(C9-1))</f>
        <v>2.451212121212121</v>
      </c>
    </row>
    <row r="10" spans="1:4" ht="12">
      <c r="A10" t="s">
        <v>66</v>
      </c>
      <c r="B10">
        <f>3+1</f>
        <v>4</v>
      </c>
      <c r="C10">
        <v>2</v>
      </c>
      <c r="D10">
        <f>B10/3.3+(0.11*(C10-1))</f>
        <v>1.3221212121212123</v>
      </c>
    </row>
    <row r="11" spans="1:4" ht="12">
      <c r="A11" t="s">
        <v>56</v>
      </c>
      <c r="B11">
        <f>3</f>
        <v>3</v>
      </c>
      <c r="C11">
        <v>1</v>
      </c>
      <c r="D11">
        <f>B11/3.3+(0.11*(C11-1))</f>
        <v>0.9090909090909092</v>
      </c>
    </row>
    <row r="12" spans="1:4" ht="12">
      <c r="A12" t="s">
        <v>101</v>
      </c>
      <c r="B12">
        <f>0.75</f>
        <v>0.75</v>
      </c>
      <c r="C12">
        <v>1</v>
      </c>
      <c r="D12">
        <f>B12+(0.11*(C12-1))</f>
        <v>0.75</v>
      </c>
    </row>
    <row r="13" spans="1:4" ht="12">
      <c r="A13" t="s">
        <v>102</v>
      </c>
      <c r="B13">
        <f>0.75</f>
        <v>0.75</v>
      </c>
      <c r="C13">
        <v>1</v>
      </c>
      <c r="D13">
        <f>B13+(0.11*(C13-1))</f>
        <v>0.75</v>
      </c>
    </row>
    <row r="14" spans="1:4" ht="12">
      <c r="A14" t="s">
        <v>103</v>
      </c>
      <c r="B14">
        <f>0.75</f>
        <v>0.75</v>
      </c>
      <c r="C14">
        <v>1</v>
      </c>
      <c r="D14">
        <f>B14+(0.11*(C14-1))</f>
        <v>0.75</v>
      </c>
    </row>
    <row r="15" spans="1:4" ht="12">
      <c r="A15" t="s">
        <v>29</v>
      </c>
      <c r="B15">
        <f>1</f>
        <v>1</v>
      </c>
      <c r="C15">
        <v>1</v>
      </c>
      <c r="D15">
        <f>B15/3.3+(0.11*(C15-1))</f>
        <v>0.30303030303030304</v>
      </c>
    </row>
    <row r="16" spans="1:4" ht="12">
      <c r="A16" t="s">
        <v>74</v>
      </c>
      <c r="B16">
        <f>1</f>
        <v>1</v>
      </c>
      <c r="C16">
        <v>1</v>
      </c>
      <c r="D16">
        <f>B16/3.3+(0.11*(C16-1))</f>
        <v>0.30303030303030304</v>
      </c>
    </row>
    <row r="17" ht="12">
      <c r="D17">
        <f aca="true" t="shared" si="1" ref="D17:D24">B17+(0.11*(C17-1))</f>
        <v>-0.11</v>
      </c>
    </row>
    <row r="18" ht="12">
      <c r="D18">
        <f t="shared" si="1"/>
        <v>-0.11</v>
      </c>
    </row>
    <row r="19" ht="12">
      <c r="D19">
        <f t="shared" si="1"/>
        <v>-0.11</v>
      </c>
    </row>
    <row r="20" ht="12">
      <c r="D20">
        <f t="shared" si="1"/>
        <v>-0.11</v>
      </c>
    </row>
    <row r="21" ht="12">
      <c r="D21">
        <f t="shared" si="1"/>
        <v>-0.11</v>
      </c>
    </row>
    <row r="22" ht="12">
      <c r="D22">
        <f t="shared" si="1"/>
        <v>-0.11</v>
      </c>
    </row>
    <row r="23" ht="12">
      <c r="D23">
        <f t="shared" si="1"/>
        <v>-0.11</v>
      </c>
    </row>
    <row r="24" ht="12">
      <c r="D24">
        <f t="shared" si="1"/>
        <v>-0.11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43.140625" style="0" customWidth="1"/>
    <col min="2" max="3" width="8.8515625" style="0" customWidth="1"/>
    <col min="4" max="4" width="9.28125" style="0" customWidth="1"/>
    <col min="5" max="16384" width="11.421875" style="0" customWidth="1"/>
  </cols>
  <sheetData>
    <row r="1" spans="1:4" ht="12">
      <c r="A1" t="s">
        <v>36</v>
      </c>
      <c r="B1">
        <f>1+3+2+1+4+3+1.5+1.5+1+1</f>
        <v>19</v>
      </c>
      <c r="C1">
        <v>10</v>
      </c>
      <c r="D1">
        <f aca="true" t="shared" si="0" ref="D1:D8">B1+(0.11*(C1-1))</f>
        <v>19.99</v>
      </c>
    </row>
    <row r="2" spans="1:4" ht="12">
      <c r="A2" t="s">
        <v>32</v>
      </c>
      <c r="B2">
        <f>1+1+4+2+1.5+1.5+1</f>
        <v>12</v>
      </c>
      <c r="C2">
        <v>7</v>
      </c>
      <c r="D2">
        <f t="shared" si="0"/>
        <v>12.66</v>
      </c>
    </row>
    <row r="3" spans="1:4" ht="12">
      <c r="A3" t="s">
        <v>37</v>
      </c>
      <c r="B3">
        <f>1+4+2+1+1.5+1-1</f>
        <v>9.5</v>
      </c>
      <c r="C3">
        <v>6</v>
      </c>
      <c r="D3">
        <f t="shared" si="0"/>
        <v>10.05</v>
      </c>
    </row>
    <row r="4" spans="1:4" ht="12">
      <c r="A4" t="s">
        <v>34</v>
      </c>
      <c r="B4">
        <f>1+4+2+1</f>
        <v>8</v>
      </c>
      <c r="C4">
        <v>4</v>
      </c>
      <c r="D4">
        <f t="shared" si="0"/>
        <v>8.33</v>
      </c>
    </row>
    <row r="5" spans="1:4" ht="12">
      <c r="A5" t="s">
        <v>38</v>
      </c>
      <c r="B5">
        <f>1+1+1+1.5+1.5</f>
        <v>6</v>
      </c>
      <c r="C5">
        <v>5</v>
      </c>
      <c r="D5">
        <f t="shared" si="0"/>
        <v>6.44</v>
      </c>
    </row>
    <row r="6" spans="1:4" ht="12">
      <c r="A6" t="s">
        <v>97</v>
      </c>
      <c r="B6">
        <f>1+1+2+2</f>
        <v>6</v>
      </c>
      <c r="C6">
        <v>4</v>
      </c>
      <c r="D6">
        <f t="shared" si="0"/>
        <v>6.33</v>
      </c>
    </row>
    <row r="7" spans="1:4" ht="12">
      <c r="A7" t="s">
        <v>85</v>
      </c>
      <c r="B7">
        <f>4+2-1</f>
        <v>5</v>
      </c>
      <c r="C7">
        <v>2</v>
      </c>
      <c r="D7">
        <f t="shared" si="0"/>
        <v>5.11</v>
      </c>
    </row>
    <row r="8" spans="1:4" ht="12">
      <c r="A8" t="s">
        <v>98</v>
      </c>
      <c r="B8">
        <f>0.75</f>
        <v>0.75</v>
      </c>
      <c r="C8">
        <v>1</v>
      </c>
      <c r="D8">
        <f t="shared" si="0"/>
        <v>0.75</v>
      </c>
    </row>
    <row r="9" spans="1:4" ht="12">
      <c r="A9" t="s">
        <v>33</v>
      </c>
      <c r="B9">
        <f>1+1</f>
        <v>2</v>
      </c>
      <c r="C9">
        <v>2</v>
      </c>
      <c r="D9">
        <f>B9/3.3+(0.11*(C9-1))</f>
        <v>0.7160606060606061</v>
      </c>
    </row>
    <row r="10" spans="1:4" ht="12">
      <c r="A10" t="s">
        <v>35</v>
      </c>
      <c r="B10">
        <f>1</f>
        <v>1</v>
      </c>
      <c r="C10">
        <v>1</v>
      </c>
      <c r="D10">
        <f>B10/3.3+(0.11*(C10-1))</f>
        <v>0.30303030303030304</v>
      </c>
    </row>
    <row r="11" spans="1:4" ht="12">
      <c r="A11" t="s">
        <v>105</v>
      </c>
      <c r="B11">
        <f>1</f>
        <v>1</v>
      </c>
      <c r="C11">
        <v>1</v>
      </c>
      <c r="D11">
        <f>B11/3.3+(0.11*(C11-1))</f>
        <v>0.30303030303030304</v>
      </c>
    </row>
    <row r="12" spans="1:4" ht="12">
      <c r="A12" t="s">
        <v>99</v>
      </c>
      <c r="B12">
        <f>0.75-1</f>
        <v>-0.25</v>
      </c>
      <c r="C12">
        <v>1</v>
      </c>
      <c r="D12">
        <f>B12+(0.11*(C12-1))</f>
        <v>-0.25</v>
      </c>
    </row>
    <row r="13" spans="1:4" ht="12">
      <c r="A13" s="9" t="s">
        <v>100</v>
      </c>
      <c r="B13">
        <f>0.75-1</f>
        <v>-0.25</v>
      </c>
      <c r="C13">
        <v>1</v>
      </c>
      <c r="D13">
        <f>B13+(0.11*(C13-1))</f>
        <v>-0.25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42.00390625" style="0" customWidth="1"/>
    <col min="2" max="16384" width="11.421875" style="0" customWidth="1"/>
  </cols>
  <sheetData>
    <row r="1" spans="1:4" ht="12">
      <c r="A1" t="s">
        <v>4</v>
      </c>
      <c r="B1">
        <f>1+3+3+1.5+3+4+1.5+1.5+1.5+1+1.5</f>
        <v>22.5</v>
      </c>
      <c r="C1">
        <v>11</v>
      </c>
      <c r="D1">
        <f>(B1+(0.11*(C1-1)))</f>
        <v>23.6</v>
      </c>
    </row>
    <row r="2" spans="1:4" ht="12">
      <c r="A2" s="9" t="s">
        <v>39</v>
      </c>
      <c r="B2">
        <f>1+3+2+2+2+4+1+1.5+1+1</f>
        <v>18.5</v>
      </c>
      <c r="C2">
        <v>10</v>
      </c>
      <c r="D2">
        <f>(B2+(0.11*(C2-1)))</f>
        <v>19.49</v>
      </c>
    </row>
    <row r="3" spans="1:4" ht="12">
      <c r="A3" s="9" t="s">
        <v>41</v>
      </c>
      <c r="B3">
        <f>1+1.5+2+2+4+1+1+1</f>
        <v>13.5</v>
      </c>
      <c r="C3">
        <v>8</v>
      </c>
      <c r="D3">
        <f>(B3+(0.11*(C3-1)))</f>
        <v>14.27</v>
      </c>
    </row>
    <row r="4" spans="1:4" ht="12">
      <c r="A4" s="9" t="s">
        <v>40</v>
      </c>
      <c r="B4">
        <f>1+2+2+4+1+1+1+1</f>
        <v>13</v>
      </c>
      <c r="C4">
        <v>8</v>
      </c>
      <c r="D4">
        <f>(B4+(0.11*(C4-1)))</f>
        <v>13.77</v>
      </c>
    </row>
    <row r="5" spans="1:4" ht="12">
      <c r="A5" s="9" t="s">
        <v>42</v>
      </c>
      <c r="B5">
        <f>1+2+2+4</f>
        <v>9</v>
      </c>
      <c r="C5">
        <v>4</v>
      </c>
      <c r="D5">
        <f>(B5/2.5+(0.11*(C5-1)))</f>
        <v>3.93</v>
      </c>
    </row>
    <row r="6" spans="1:4" ht="12">
      <c r="A6" s="9" t="s">
        <v>75</v>
      </c>
      <c r="B6">
        <f>1+1</f>
        <v>2</v>
      </c>
      <c r="C6">
        <v>2</v>
      </c>
      <c r="D6">
        <f>(B6/3.3+(0.11*(C6-1)))</f>
        <v>0.7160606060606061</v>
      </c>
    </row>
    <row r="7" spans="1:4" ht="12">
      <c r="A7" s="9" t="s">
        <v>43</v>
      </c>
      <c r="B7">
        <f>1</f>
        <v>1</v>
      </c>
      <c r="C7">
        <v>1</v>
      </c>
      <c r="D7">
        <f>(B7/3.3+(0.11*(C7-1)))</f>
        <v>0.30303030303030304</v>
      </c>
    </row>
    <row r="8" spans="1:4" ht="12">
      <c r="A8" s="1"/>
      <c r="D8">
        <f aca="true" t="shared" si="0" ref="D8:D16">(B8+(0.11*(C8-1)))</f>
        <v>-0.11</v>
      </c>
    </row>
    <row r="9" ht="12">
      <c r="D9">
        <f t="shared" si="0"/>
        <v>-0.11</v>
      </c>
    </row>
    <row r="10" ht="12">
      <c r="D10">
        <f t="shared" si="0"/>
        <v>-0.11</v>
      </c>
    </row>
    <row r="11" ht="12">
      <c r="D11">
        <f t="shared" si="0"/>
        <v>-0.11</v>
      </c>
    </row>
    <row r="12" spans="1:4" ht="12">
      <c r="A12" s="6"/>
      <c r="D12">
        <f t="shared" si="0"/>
        <v>-0.11</v>
      </c>
    </row>
    <row r="13" spans="1:4" ht="12">
      <c r="A13" s="8"/>
      <c r="B13" s="7"/>
      <c r="C13" s="7"/>
      <c r="D13">
        <f t="shared" si="0"/>
        <v>-0.11</v>
      </c>
    </row>
    <row r="14" spans="1:4" ht="12">
      <c r="A14" s="1"/>
      <c r="D14">
        <f t="shared" si="0"/>
        <v>-0.11</v>
      </c>
    </row>
    <row r="15" spans="1:4" ht="12">
      <c r="A15" s="1"/>
      <c r="D15">
        <f t="shared" si="0"/>
        <v>-0.11</v>
      </c>
    </row>
    <row r="16" spans="1:4" s="7" customFormat="1" ht="12">
      <c r="A16"/>
      <c r="B16"/>
      <c r="C16"/>
      <c r="D16">
        <f t="shared" si="0"/>
        <v>-0.11</v>
      </c>
    </row>
    <row r="19" ht="12.75" customHeight="1"/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38.421875" style="2" customWidth="1"/>
    <col min="2" max="2" width="9.421875" style="4" bestFit="1" customWidth="1"/>
    <col min="3" max="3" width="9.421875" style="3" bestFit="1" customWidth="1"/>
    <col min="4" max="4" width="9.421875" style="4" bestFit="1" customWidth="1"/>
    <col min="5" max="16384" width="11.421875" style="0" customWidth="1"/>
  </cols>
  <sheetData>
    <row r="1" spans="1:4" ht="12">
      <c r="A1" s="2" t="s">
        <v>5</v>
      </c>
      <c r="B1" s="4">
        <f>1+3+3+1.5+3+4+1+1+1.5+1.5+1.5+1.5+1.5+1</f>
        <v>26</v>
      </c>
      <c r="C1" s="10" t="s">
        <v>138</v>
      </c>
      <c r="D1" s="4">
        <f aca="true" t="shared" si="0" ref="D1:D7">(B1+(0.11*(C1-1)))</f>
        <v>27.43</v>
      </c>
    </row>
    <row r="2" spans="1:4" ht="12">
      <c r="A2" s="2" t="s">
        <v>44</v>
      </c>
      <c r="B2" s="4">
        <f>1+2+4+1+1+1+1</f>
        <v>11</v>
      </c>
      <c r="C2" s="3" t="s">
        <v>139</v>
      </c>
      <c r="D2" s="4">
        <f t="shared" si="0"/>
        <v>11.66</v>
      </c>
    </row>
    <row r="3" spans="1:4" ht="12">
      <c r="A3" s="2" t="s">
        <v>45</v>
      </c>
      <c r="B3" s="4">
        <f>1+2+2+4+1</f>
        <v>10</v>
      </c>
      <c r="C3" s="3" t="s">
        <v>106</v>
      </c>
      <c r="D3" s="4">
        <f t="shared" si="0"/>
        <v>10.44</v>
      </c>
    </row>
    <row r="4" spans="1:4" ht="12">
      <c r="A4" s="2" t="s">
        <v>57</v>
      </c>
      <c r="B4" s="4">
        <f>3+2+2+1+1</f>
        <v>9</v>
      </c>
      <c r="C4" s="3" t="s">
        <v>106</v>
      </c>
      <c r="D4" s="4">
        <f t="shared" si="0"/>
        <v>9.44</v>
      </c>
    </row>
    <row r="5" spans="1:4" ht="12">
      <c r="A5" s="2" t="s">
        <v>87</v>
      </c>
      <c r="B5" s="4">
        <f>2+4</f>
        <v>6</v>
      </c>
      <c r="C5" s="3" t="s">
        <v>76</v>
      </c>
      <c r="D5" s="4">
        <f t="shared" si="0"/>
        <v>6.11</v>
      </c>
    </row>
    <row r="6" spans="1:4" ht="12">
      <c r="A6" s="2" t="s">
        <v>86</v>
      </c>
      <c r="B6" s="4">
        <f>4</f>
        <v>4</v>
      </c>
      <c r="C6" s="3" t="s">
        <v>0</v>
      </c>
      <c r="D6" s="4">
        <f t="shared" si="0"/>
        <v>4</v>
      </c>
    </row>
    <row r="7" spans="1:4" ht="12">
      <c r="A7" s="2" t="s">
        <v>137</v>
      </c>
      <c r="B7" s="4">
        <f>2+1</f>
        <v>3</v>
      </c>
      <c r="C7" s="3" t="s">
        <v>76</v>
      </c>
      <c r="D7" s="4">
        <f t="shared" si="0"/>
        <v>3.11</v>
      </c>
    </row>
    <row r="8" spans="1:4" ht="12">
      <c r="A8" s="2" t="s">
        <v>67</v>
      </c>
      <c r="B8" s="4">
        <f>3+1+1+1</f>
        <v>6</v>
      </c>
      <c r="C8" s="3" t="s">
        <v>104</v>
      </c>
      <c r="D8" s="4">
        <f aca="true" t="shared" si="1" ref="D8:D14">(B8/3.3+(0.11*(C8-1)))</f>
        <v>2.1481818181818184</v>
      </c>
    </row>
    <row r="9" spans="1:4" ht="12">
      <c r="A9" s="2" t="s">
        <v>68</v>
      </c>
      <c r="B9" s="4">
        <f>2+1.5</f>
        <v>3.5</v>
      </c>
      <c r="C9" s="3" t="s">
        <v>76</v>
      </c>
      <c r="D9" s="4">
        <f t="shared" si="1"/>
        <v>1.1706060606060606</v>
      </c>
    </row>
    <row r="10" spans="1:4" ht="12">
      <c r="A10" s="2" t="s">
        <v>46</v>
      </c>
      <c r="B10" s="4">
        <f>1+1</f>
        <v>2</v>
      </c>
      <c r="C10" s="3" t="s">
        <v>76</v>
      </c>
      <c r="D10" s="4">
        <f t="shared" si="1"/>
        <v>0.7160606060606061</v>
      </c>
    </row>
    <row r="11" spans="1:4" ht="12">
      <c r="A11" s="2" t="s">
        <v>47</v>
      </c>
      <c r="B11" s="4">
        <f>1+1</f>
        <v>2</v>
      </c>
      <c r="C11" s="3" t="s">
        <v>76</v>
      </c>
      <c r="D11" s="4">
        <f t="shared" si="1"/>
        <v>0.7160606060606061</v>
      </c>
    </row>
    <row r="12" spans="1:4" ht="12">
      <c r="A12" s="2" t="s">
        <v>48</v>
      </c>
      <c r="B12" s="4">
        <f>1</f>
        <v>1</v>
      </c>
      <c r="C12" s="3" t="s">
        <v>0</v>
      </c>
      <c r="D12" s="4">
        <f t="shared" si="1"/>
        <v>0.30303030303030304</v>
      </c>
    </row>
    <row r="13" spans="1:4" ht="12">
      <c r="A13" s="2" t="s">
        <v>77</v>
      </c>
      <c r="B13" s="4">
        <f>1</f>
        <v>1</v>
      </c>
      <c r="C13" s="3" t="s">
        <v>0</v>
      </c>
      <c r="D13" s="4">
        <f t="shared" si="1"/>
        <v>0.30303030303030304</v>
      </c>
    </row>
    <row r="14" spans="1:4" ht="12">
      <c r="A14" s="2" t="s">
        <v>131</v>
      </c>
      <c r="D14" s="4">
        <f t="shared" si="1"/>
        <v>-0.11</v>
      </c>
    </row>
    <row r="15" ht="12">
      <c r="D15" s="4">
        <f>(B15+(0.11*(C15-1)))</f>
        <v>-0.11</v>
      </c>
    </row>
    <row r="16" spans="3:4" ht="12">
      <c r="C16"/>
      <c r="D16" s="4">
        <f>(B16+(0.11*(C16-1)))</f>
        <v>-0.11</v>
      </c>
    </row>
    <row r="17" ht="13.5" customHeight="1"/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31.8515625" style="0" customWidth="1"/>
    <col min="2" max="16384" width="11.421875" style="0" customWidth="1"/>
  </cols>
  <sheetData>
    <row r="1" spans="1:5" ht="12">
      <c r="A1" s="9" t="s">
        <v>6</v>
      </c>
      <c r="B1">
        <f>3+3+1.5+2+1.5+1.5+1.5+1.5+4+1</f>
        <v>20.5</v>
      </c>
      <c r="C1">
        <v>9</v>
      </c>
      <c r="D1">
        <v>10</v>
      </c>
      <c r="E1">
        <f aca="true" t="shared" si="0" ref="E1:E15">B1+(0.11*(C1-1))+D1*0.35</f>
        <v>24.88</v>
      </c>
    </row>
    <row r="2" spans="1:5" ht="12">
      <c r="A2" s="9" t="s">
        <v>1</v>
      </c>
      <c r="B2">
        <f>2+1+2+1+2+1+4+1+2</f>
        <v>16</v>
      </c>
      <c r="C2">
        <v>9</v>
      </c>
      <c r="D2">
        <v>15</v>
      </c>
      <c r="E2">
        <f t="shared" si="0"/>
        <v>22.13</v>
      </c>
    </row>
    <row r="3" spans="1:5" ht="12">
      <c r="A3" s="9" t="s">
        <v>18</v>
      </c>
      <c r="B3">
        <f>1+3+2+1+1.5+1+1+4</f>
        <v>14.5</v>
      </c>
      <c r="C3">
        <v>8</v>
      </c>
      <c r="D3">
        <v>13</v>
      </c>
      <c r="E3">
        <f t="shared" si="0"/>
        <v>19.82</v>
      </c>
    </row>
    <row r="4" spans="1:5" ht="12">
      <c r="A4" s="9" t="s">
        <v>50</v>
      </c>
      <c r="B4">
        <f>1+1.5+4+1</f>
        <v>7.5</v>
      </c>
      <c r="C4">
        <v>4</v>
      </c>
      <c r="D4">
        <v>8</v>
      </c>
      <c r="E4">
        <f t="shared" si="0"/>
        <v>10.629999999999999</v>
      </c>
    </row>
    <row r="5" spans="1:5" ht="12">
      <c r="A5" s="9" t="s">
        <v>115</v>
      </c>
      <c r="B5">
        <f>1+3</f>
        <v>4</v>
      </c>
      <c r="C5">
        <v>2</v>
      </c>
      <c r="D5">
        <v>8</v>
      </c>
      <c r="E5">
        <f t="shared" si="0"/>
        <v>6.91</v>
      </c>
    </row>
    <row r="6" spans="1:5" ht="12">
      <c r="A6" s="9" t="s">
        <v>82</v>
      </c>
      <c r="B6">
        <f>4</f>
        <v>4</v>
      </c>
      <c r="C6">
        <v>1</v>
      </c>
      <c r="D6">
        <v>4</v>
      </c>
      <c r="E6">
        <f t="shared" si="0"/>
        <v>5.4</v>
      </c>
    </row>
    <row r="7" spans="1:5" ht="12">
      <c r="A7" s="9" t="s">
        <v>114</v>
      </c>
      <c r="B7">
        <f>0.8+0.8+0.8+0.8</f>
        <v>3.2</v>
      </c>
      <c r="C7">
        <v>4</v>
      </c>
      <c r="D7">
        <v>4</v>
      </c>
      <c r="E7">
        <f t="shared" si="0"/>
        <v>4.93</v>
      </c>
    </row>
    <row r="8" spans="1:5" ht="12">
      <c r="A8" s="9" t="s">
        <v>16</v>
      </c>
      <c r="B8">
        <f>1+1</f>
        <v>2</v>
      </c>
      <c r="C8">
        <v>2</v>
      </c>
      <c r="D8">
        <v>5</v>
      </c>
      <c r="E8">
        <f t="shared" si="0"/>
        <v>3.86</v>
      </c>
    </row>
    <row r="9" spans="1:5" ht="12">
      <c r="A9" s="9" t="s">
        <v>7</v>
      </c>
      <c r="B9">
        <f>0.8+0.8</f>
        <v>1.6</v>
      </c>
      <c r="C9">
        <v>2</v>
      </c>
      <c r="D9">
        <v>4</v>
      </c>
      <c r="E9">
        <f t="shared" si="0"/>
        <v>3.1100000000000003</v>
      </c>
    </row>
    <row r="10" spans="1:5" ht="12">
      <c r="A10" s="9" t="s">
        <v>78</v>
      </c>
      <c r="B10">
        <f>1+0.8</f>
        <v>1.8</v>
      </c>
      <c r="C10">
        <v>2</v>
      </c>
      <c r="D10">
        <v>3</v>
      </c>
      <c r="E10">
        <f t="shared" si="0"/>
        <v>2.96</v>
      </c>
    </row>
    <row r="11" spans="1:5" ht="12">
      <c r="A11" s="9" t="s">
        <v>54</v>
      </c>
      <c r="B11">
        <f>2</f>
        <v>2</v>
      </c>
      <c r="C11">
        <v>1</v>
      </c>
      <c r="D11">
        <v>1</v>
      </c>
      <c r="E11">
        <f t="shared" si="0"/>
        <v>2.35</v>
      </c>
    </row>
    <row r="12" spans="1:5" ht="12">
      <c r="A12" s="9" t="s">
        <v>59</v>
      </c>
      <c r="B12">
        <f>0.8</f>
        <v>0.8</v>
      </c>
      <c r="C12">
        <v>1</v>
      </c>
      <c r="D12">
        <v>1</v>
      </c>
      <c r="E12">
        <f t="shared" si="0"/>
        <v>1.15</v>
      </c>
    </row>
    <row r="13" spans="1:5" ht="12">
      <c r="A13" s="9" t="s">
        <v>133</v>
      </c>
      <c r="B13">
        <f>0.8</f>
        <v>0.8</v>
      </c>
      <c r="C13">
        <v>1</v>
      </c>
      <c r="D13">
        <v>1</v>
      </c>
      <c r="E13">
        <f t="shared" si="0"/>
        <v>1.15</v>
      </c>
    </row>
    <row r="14" spans="1:5" ht="12">
      <c r="A14" s="9" t="s">
        <v>49</v>
      </c>
      <c r="B14">
        <f>1</f>
        <v>1</v>
      </c>
      <c r="C14">
        <v>1</v>
      </c>
      <c r="E14">
        <f t="shared" si="0"/>
        <v>1</v>
      </c>
    </row>
    <row r="15" spans="1:5" ht="12">
      <c r="A15" s="9" t="s">
        <v>107</v>
      </c>
      <c r="B15">
        <f>1</f>
        <v>1</v>
      </c>
      <c r="C15">
        <v>1</v>
      </c>
      <c r="E15">
        <f t="shared" si="0"/>
        <v>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="150" zoomScaleNormal="150" workbookViewId="0" topLeftCell="A1">
      <selection activeCell="A1" sqref="A1:A5"/>
    </sheetView>
  </sheetViews>
  <sheetFormatPr defaultColWidth="11.57421875" defaultRowHeight="12.75"/>
  <cols>
    <col min="1" max="1" width="27.28125" style="0" customWidth="1"/>
    <col min="2" max="16384" width="11.421875" style="0" customWidth="1"/>
  </cols>
  <sheetData>
    <row r="1" spans="1:5" ht="12">
      <c r="A1" t="s">
        <v>17</v>
      </c>
      <c r="B1">
        <f>1+1+2+1.5+1.5+1.5+1.5+1.5+4+1</f>
        <v>16.5</v>
      </c>
      <c r="C1">
        <v>10</v>
      </c>
      <c r="D1">
        <v>5</v>
      </c>
      <c r="E1">
        <f aca="true" t="shared" si="0" ref="E1:E13">B1+(0.11*(C1-1))+D1*0.35</f>
        <v>19.24</v>
      </c>
    </row>
    <row r="2" spans="1:5" ht="12">
      <c r="A2" s="9" t="s">
        <v>13</v>
      </c>
      <c r="B2">
        <f>1+2+1+4+1</f>
        <v>9</v>
      </c>
      <c r="C2">
        <v>5</v>
      </c>
      <c r="D2">
        <v>10</v>
      </c>
      <c r="E2">
        <f t="shared" si="0"/>
        <v>12.94</v>
      </c>
    </row>
    <row r="3" spans="1:5" ht="12">
      <c r="A3" s="9" t="s">
        <v>12</v>
      </c>
      <c r="B3">
        <f>1+1+4+1</f>
        <v>7</v>
      </c>
      <c r="C3">
        <v>4</v>
      </c>
      <c r="D3">
        <v>8</v>
      </c>
      <c r="E3">
        <f t="shared" si="0"/>
        <v>10.129999999999999</v>
      </c>
    </row>
    <row r="4" spans="1:5" ht="12">
      <c r="A4" t="s">
        <v>51</v>
      </c>
      <c r="B4">
        <f>1+3+1+1+1</f>
        <v>7</v>
      </c>
      <c r="C4">
        <v>5</v>
      </c>
      <c r="D4">
        <v>2</v>
      </c>
      <c r="E4">
        <f t="shared" si="0"/>
        <v>8.14</v>
      </c>
    </row>
    <row r="5" spans="1:5" ht="12">
      <c r="A5" s="9" t="s">
        <v>52</v>
      </c>
      <c r="B5">
        <f>1+4+1</f>
        <v>6</v>
      </c>
      <c r="C5">
        <v>3</v>
      </c>
      <c r="D5">
        <v>5</v>
      </c>
      <c r="E5">
        <f t="shared" si="0"/>
        <v>7.97</v>
      </c>
    </row>
    <row r="6" spans="1:5" ht="12">
      <c r="A6" t="s">
        <v>14</v>
      </c>
      <c r="B6">
        <f>1+1+2</f>
        <v>4</v>
      </c>
      <c r="C6">
        <v>3</v>
      </c>
      <c r="D6">
        <v>7</v>
      </c>
      <c r="E6">
        <f t="shared" si="0"/>
        <v>6.67</v>
      </c>
    </row>
    <row r="7" spans="1:5" ht="12">
      <c r="A7" s="9" t="s">
        <v>53</v>
      </c>
      <c r="B7">
        <f>1+1+4</f>
        <v>6</v>
      </c>
      <c r="C7">
        <v>3</v>
      </c>
      <c r="D7">
        <v>1</v>
      </c>
      <c r="E7">
        <f t="shared" si="0"/>
        <v>6.569999999999999</v>
      </c>
    </row>
    <row r="8" spans="1:5" ht="12">
      <c r="A8" s="9" t="s">
        <v>129</v>
      </c>
      <c r="B8">
        <f>4</f>
        <v>4</v>
      </c>
      <c r="C8">
        <v>1</v>
      </c>
      <c r="E8">
        <f t="shared" si="0"/>
        <v>4</v>
      </c>
    </row>
    <row r="9" spans="1:5" ht="12">
      <c r="A9" s="9" t="s">
        <v>80</v>
      </c>
      <c r="B9">
        <f>1+1</f>
        <v>2</v>
      </c>
      <c r="C9">
        <v>2</v>
      </c>
      <c r="D9">
        <v>2</v>
      </c>
      <c r="E9">
        <f t="shared" si="0"/>
        <v>2.8099999999999996</v>
      </c>
    </row>
    <row r="10" spans="1:5" ht="12">
      <c r="A10" s="9" t="s">
        <v>79</v>
      </c>
      <c r="B10">
        <f>1</f>
        <v>1</v>
      </c>
      <c r="C10">
        <v>1</v>
      </c>
      <c r="D10">
        <v>1</v>
      </c>
      <c r="E10">
        <f t="shared" si="0"/>
        <v>1.35</v>
      </c>
    </row>
    <row r="11" spans="1:5" ht="12">
      <c r="A11" s="9" t="s">
        <v>111</v>
      </c>
      <c r="B11">
        <f>0.8</f>
        <v>0.8</v>
      </c>
      <c r="C11">
        <v>1</v>
      </c>
      <c r="D11">
        <v>1</v>
      </c>
      <c r="E11">
        <f t="shared" si="0"/>
        <v>1.15</v>
      </c>
    </row>
    <row r="12" spans="1:5" ht="12">
      <c r="A12" s="9" t="s">
        <v>81</v>
      </c>
      <c r="B12">
        <f>1</f>
        <v>1</v>
      </c>
      <c r="C12">
        <v>1</v>
      </c>
      <c r="E12">
        <f t="shared" si="0"/>
        <v>1</v>
      </c>
    </row>
    <row r="13" spans="1:5" ht="12">
      <c r="A13" s="9" t="s">
        <v>130</v>
      </c>
      <c r="B13">
        <f>1</f>
        <v>1</v>
      </c>
      <c r="C13">
        <v>1</v>
      </c>
      <c r="E13">
        <f t="shared" si="0"/>
        <v>1</v>
      </c>
    </row>
  </sheetData>
  <sheetProtection/>
  <printOptions/>
  <pageMargins left="0.75" right="0.75" top="1" bottom="1" header="0.5" footer="0.5"/>
  <pageSetup horizontalDpi="360" verticalDpi="360"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</dc:creator>
  <cp:keywords/>
  <dc:description/>
  <cp:lastModifiedBy>Geert Verbanck</cp:lastModifiedBy>
  <cp:lastPrinted>2007-01-30T07:39:05Z</cp:lastPrinted>
  <dcterms:created xsi:type="dcterms:W3CDTF">2000-02-17T17:19:19Z</dcterms:created>
  <dcterms:modified xsi:type="dcterms:W3CDTF">2019-03-19T12:20:05Z</dcterms:modified>
  <cp:category/>
  <cp:version/>
  <cp:contentType/>
  <cp:contentStatus/>
</cp:coreProperties>
</file>