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20" windowWidth="25600" windowHeight="10520" tabRatio="599" activeTab="0"/>
  </bookViews>
  <sheets>
    <sheet name="Picture" sheetId="1" r:id="rId1"/>
    <sheet name="Director" sheetId="2" r:id="rId2"/>
    <sheet name="Actor" sheetId="3" r:id="rId3"/>
    <sheet name="Actress" sheetId="4" r:id="rId4"/>
    <sheet name="Supp.Actor" sheetId="5" r:id="rId5"/>
    <sheet name="Supp.Actress" sheetId="6" r:id="rId6"/>
    <sheet name="Original" sheetId="7" r:id="rId7"/>
    <sheet name="Adaptation" sheetId="8" r:id="rId8"/>
    <sheet name="0" sheetId="9" r:id="rId9"/>
    <sheet name="00" sheetId="10" r:id="rId10"/>
    <sheet name="000" sheetId="11" r:id="rId11"/>
    <sheet name="0000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7">'Adaptation'!$A:$E</definedName>
  </definedNames>
  <calcPr fullCalcOnLoad="1"/>
</workbook>
</file>

<file path=xl/sharedStrings.xml><?xml version="1.0" encoding="utf-8"?>
<sst xmlns="http://schemas.openxmlformats.org/spreadsheetml/2006/main" count="170" uniqueCount="141">
  <si>
    <t>The Artist</t>
  </si>
  <si>
    <t xml:space="preserve">Michel Hazanavicius, The Artist </t>
  </si>
  <si>
    <t>Meryl Streep, The Iron Lady</t>
  </si>
  <si>
    <t>Albert Brooks, Drive</t>
  </si>
  <si>
    <t>Moneyball</t>
  </si>
  <si>
    <t>Bennett Miller, Moneyball</t>
  </si>
  <si>
    <t>Phyllida Lloyd, The Iron Lady</t>
  </si>
  <si>
    <t>A Separation</t>
  </si>
  <si>
    <t>Asghar Farhadi, A Separation</t>
  </si>
  <si>
    <t>Hugo</t>
  </si>
  <si>
    <t>Martin Scorsese, Hugo</t>
  </si>
  <si>
    <t>George Clooney, The Descendants</t>
  </si>
  <si>
    <t>Tilda Swinton, We Need to Talk About Kevin</t>
  </si>
  <si>
    <t>Christopher Plummer, Beginners</t>
  </si>
  <si>
    <t>Shailene Woodley, The Descendants</t>
  </si>
  <si>
    <t>1</t>
  </si>
  <si>
    <t>50/50</t>
  </si>
  <si>
    <t>The Descendants</t>
  </si>
  <si>
    <t>Alexander Payne, The Descendants</t>
  </si>
  <si>
    <t>Jonathan Levine, 50/50</t>
  </si>
  <si>
    <t>Drive</t>
  </si>
  <si>
    <t>Harry Potter and the Deathly Hallows Part 2</t>
  </si>
  <si>
    <t>The Ides of March</t>
  </si>
  <si>
    <t>J. Edgar</t>
  </si>
  <si>
    <t>War Horse</t>
  </si>
  <si>
    <t>Lynne Ramsay, We Need to Talk About Kevin</t>
  </si>
  <si>
    <t>The Help</t>
  </si>
  <si>
    <t>Midnight in Paris</t>
  </si>
  <si>
    <t>Shame</t>
  </si>
  <si>
    <t>Tinker Tailor Soldier Spy</t>
  </si>
  <si>
    <t>Nicolas Winding Refn, Drive</t>
  </si>
  <si>
    <t>John Michael McDonagh, The Guard</t>
  </si>
  <si>
    <t>Tate Taylor, The Help</t>
  </si>
  <si>
    <t>Woody Allen, Midnight in Paris</t>
  </si>
  <si>
    <t>Tomas Alfredson, Tinker Tailor Soldier Spy</t>
  </si>
  <si>
    <t>Steven Spielberg, War Horse</t>
  </si>
  <si>
    <t>Leonardo DiCaprio, J. Edgar</t>
  </si>
  <si>
    <t>Michael Fassbender, Shame</t>
  </si>
  <si>
    <t>Brendan Gleeson, The Guard</t>
  </si>
  <si>
    <t>Ryan Gosling, Drive</t>
  </si>
  <si>
    <t>Tom Hardy, Warrior</t>
  </si>
  <si>
    <t>Woody Harrelson, Rampart</t>
  </si>
  <si>
    <t>Gary Oldman, Tinker Tailor Soldier Spy</t>
  </si>
  <si>
    <t>Brad Pitt, Moneyball</t>
  </si>
  <si>
    <t>Michael Shannon, Take Shelter</t>
  </si>
  <si>
    <t>Glenn Close, Albert Nobbs</t>
  </si>
  <si>
    <t>Olivia Colman, Tyrannosaur</t>
  </si>
  <si>
    <t>Viola Davis, The Help</t>
  </si>
  <si>
    <t>Vera Farmiga, Higher Ground</t>
  </si>
  <si>
    <t>Elizabeth Olsen, Martha Marcy May Marlene</t>
  </si>
  <si>
    <t>Charlize Theron, Young Adult</t>
  </si>
  <si>
    <t>Michelle Williams, My Week with Marilyn</t>
  </si>
  <si>
    <t>Michelle Yeoh, The Lady</t>
  </si>
  <si>
    <t>Kenneth Branagh, My Week with Marilyn</t>
  </si>
  <si>
    <t>Colin Farrell, Horrible Bosses</t>
  </si>
  <si>
    <t>Jonah Hill, Moneyball</t>
  </si>
  <si>
    <t>Viggo Mortensen, A Dangerous Method</t>
  </si>
  <si>
    <t>Nick Nolte, Warrior</t>
  </si>
  <si>
    <t>Andy Serkis, Rise of the Planet of the Apes</t>
  </si>
  <si>
    <t>Christoph Waltz, Carnage</t>
  </si>
  <si>
    <t>Jessica Chastain, The Tree of Life</t>
  </si>
  <si>
    <t>Elle Fanning, Super 8</t>
  </si>
  <si>
    <t>Lisa Feret, Mozart's Sister</t>
  </si>
  <si>
    <t>Judy Greer, The Descendants</t>
  </si>
  <si>
    <t>Rachel McAdams, Midnight in Paris</t>
  </si>
  <si>
    <t>Janet McTeer, Albert Nobbs</t>
  </si>
  <si>
    <t>Carey Mulligan, Shame</t>
  </si>
  <si>
    <t>Vanessa Redgrave, Coriolanus</t>
  </si>
  <si>
    <t>Octavia Spencer, The Help</t>
  </si>
  <si>
    <t>Kate Winslet, Carnage</t>
  </si>
  <si>
    <t>The Guard</t>
  </si>
  <si>
    <t>Mozart's Sister</t>
  </si>
  <si>
    <t>The Tree of Life</t>
  </si>
  <si>
    <t>Tyrannosaur</t>
  </si>
  <si>
    <t>The Adventures of Tintin</t>
  </si>
  <si>
    <t>Albert Nobbs</t>
  </si>
  <si>
    <t>Steve McQueen, Shame</t>
  </si>
  <si>
    <t>Melancholia</t>
  </si>
  <si>
    <t>Lars Von Trier, Melancholia</t>
  </si>
  <si>
    <t>Patton Oswalt, Young Adult</t>
  </si>
  <si>
    <t>Kristin Dunst, Melancholia</t>
  </si>
  <si>
    <t>Chang-dong Lee, Poetry</t>
  </si>
  <si>
    <t>David Cronenberg, A Dangerous Mind</t>
  </si>
  <si>
    <t>Cary Fukunaga, Jane Eyre</t>
  </si>
  <si>
    <t>Matthew Vaughn, X-Men First Class</t>
  </si>
  <si>
    <t>Extremely Loud and Incredible Close</t>
  </si>
  <si>
    <t>Damian Bichir, A Better Life</t>
  </si>
  <si>
    <t>Jean Dujardin, The Artist</t>
  </si>
  <si>
    <t>Armie Hammer, J. Edgar</t>
  </si>
  <si>
    <t>Berenice Bejo, The Artist</t>
  </si>
  <si>
    <t>Jessica Chastain, The Help</t>
  </si>
  <si>
    <t>Melissa McCarthy, Bridesmaids</t>
  </si>
  <si>
    <t>Bridesmaids</t>
  </si>
  <si>
    <t>A Better Life</t>
  </si>
  <si>
    <t>The Iron Lady</t>
  </si>
  <si>
    <t>We Need to Talk About Kevin</t>
  </si>
  <si>
    <t>My Week With Marilyn</t>
  </si>
  <si>
    <t>Beginners</t>
  </si>
  <si>
    <t>Paul Feig, Bridesmaids</t>
  </si>
  <si>
    <t>Brit Marling, Another Earth</t>
  </si>
  <si>
    <t>George Clooney, The Ides of March</t>
  </si>
  <si>
    <t>Ryan Gosling, The Ides of March</t>
  </si>
  <si>
    <t>Jodie Foster, Carnage</t>
  </si>
  <si>
    <t>Kristin Wiig, Bridesmaids</t>
  </si>
  <si>
    <t>Joseph Gordon Levitt, 50/50</t>
  </si>
  <si>
    <t>Owen Wilson, Midnight in Paris</t>
  </si>
  <si>
    <t>2</t>
  </si>
  <si>
    <t>Anna Paquin, Margaret</t>
  </si>
  <si>
    <t>Brad Pitt, The Tree of Life</t>
  </si>
  <si>
    <t>5</t>
  </si>
  <si>
    <t>Martha Marcy May Marlene</t>
  </si>
  <si>
    <t>Terrence Malick, The Tree of Life</t>
  </si>
  <si>
    <t>The Skin I Live In</t>
  </si>
  <si>
    <t>Pedro Almodovar, The Skin I Live In</t>
  </si>
  <si>
    <t>Win Win</t>
  </si>
  <si>
    <t>Warrior</t>
  </si>
  <si>
    <t>John Hawkes, Martha Marcy May Marlene</t>
  </si>
  <si>
    <t>4</t>
  </si>
  <si>
    <t>David Fincher, The Girl with the Dragon Tattoo</t>
  </si>
  <si>
    <t>Anonmous</t>
  </si>
  <si>
    <t>Young Adult</t>
  </si>
  <si>
    <t>The Girl with the Dragon Tattoo</t>
  </si>
  <si>
    <t>The Girl With the Dragon Tattoo</t>
  </si>
  <si>
    <t>Jeannie Berlin, Margaret</t>
  </si>
  <si>
    <t>Mike Mills, Beginners</t>
  </si>
  <si>
    <t>Georges Clooney, The Ides of March</t>
  </si>
  <si>
    <t>Captain America: The First Avenger</t>
  </si>
  <si>
    <t>The Adventures of Tin Tin</t>
  </si>
  <si>
    <t>Pirates of the Carribean: On Stranger Tides</t>
  </si>
  <si>
    <t>Cowboys and Aliens</t>
  </si>
  <si>
    <t>Simon Curtis, My Week With Marilyn</t>
  </si>
  <si>
    <t>Jim Broadbent, The Iron Lady</t>
  </si>
  <si>
    <t>Philip Seymour Hoffman, The Ides of March</t>
  </si>
  <si>
    <t>Carey Mulligan, Drive</t>
  </si>
  <si>
    <t>Judi Dench, My Week With Marilyn</t>
  </si>
  <si>
    <t>7</t>
  </si>
  <si>
    <t>Rooney Mara, The Girl with the Dragon Tattoo</t>
  </si>
  <si>
    <t>Hanna</t>
  </si>
  <si>
    <t>Super 8</t>
  </si>
  <si>
    <t>11</t>
  </si>
  <si>
    <t>3</t>
  </si>
</sst>
</file>

<file path=xl/styles.xml><?xml version="1.0" encoding="utf-8"?>
<styleSheet xmlns="http://schemas.openxmlformats.org/spreadsheetml/2006/main">
  <numFmts count="7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#,##0\ &quot;FB&quot;;\-#,##0\ &quot;FB&quot;"/>
    <numFmt numFmtId="209" formatCode="#,##0\ &quot;FB&quot;;[Red]\-#,##0\ &quot;FB&quot;"/>
    <numFmt numFmtId="210" formatCode="#,##0.00\ &quot;FB&quot;;\-#,##0.00\ &quot;FB&quot;"/>
    <numFmt numFmtId="211" formatCode="#,##0.00\ &quot;FB&quot;;[Red]\-#,##0.00\ &quot;FB&quot;"/>
    <numFmt numFmtId="212" formatCode="_-* #,##0\ &quot;FB&quot;_-;\-* #,##0\ &quot;FB&quot;_-;_-* &quot;-&quot;\ &quot;FB&quot;_-;_-@_-"/>
    <numFmt numFmtId="213" formatCode="_-* #,##0\ _F_B_-;\-* #,##0\ _F_B_-;_-* &quot;-&quot;\ _F_B_-;_-@_-"/>
    <numFmt numFmtId="214" formatCode="_-* #,##0.00\ &quot;FB&quot;_-;\-* #,##0.00\ &quot;FB&quot;_-;_-* &quot;-&quot;??\ &quot;FB&quot;_-;_-@_-"/>
    <numFmt numFmtId="215" formatCode="_-* #,##0.00\ _F_B_-;\-* #,##0.00\ _F_B_-;_-* &quot;-&quot;??\ _F_B_-;_-@_-"/>
    <numFmt numFmtId="216" formatCode="0.000"/>
    <numFmt numFmtId="217" formatCode="0.0000"/>
    <numFmt numFmtId="218" formatCode="0.0"/>
    <numFmt numFmtId="219" formatCode="0.00000"/>
    <numFmt numFmtId="220" formatCode="0.000000"/>
    <numFmt numFmtId="221" formatCode="00000"/>
    <numFmt numFmtId="222" formatCode="&quot;Ja&quot;;&quot;Ja&quot;;&quot;Nee&quot;"/>
    <numFmt numFmtId="223" formatCode="&quot;Waar&quot;;&quot;Waar&quot;;&quot;Niet waar&quot;"/>
    <numFmt numFmtId="224" formatCode="&quot;Aan&quot;;&quot;Aan&quot;;&quot;Uit&quot;"/>
    <numFmt numFmtId="225" formatCode="[$€-2]\ #.##000_);[Red]\([$€-2]\ #.##000\)"/>
    <numFmt numFmtId="226" formatCode="0.000000000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2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25"/>
          <c:w val="0.97425"/>
          <c:h val="0.88475"/>
        </c:manualLayout>
      </c:layout>
      <c:barChart>
        <c:barDir val="col"/>
        <c:grouping val="clustered"/>
        <c:varyColors val="0"/>
        <c:axId val="6472851"/>
        <c:axId val="58255660"/>
      </c:barChart>
      <c:catAx>
        <c:axId val="6472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 val="autoZero"/>
        <c:auto val="0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2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775"/>
          <c:w val="0.97275"/>
          <c:h val="0.89525"/>
        </c:manualLayout>
      </c:layout>
      <c:barChart>
        <c:barDir val="col"/>
        <c:grouping val="clustered"/>
        <c:varyColors val="0"/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 val="autoZero"/>
        <c:auto val="0"/>
        <c:lblOffset val="100"/>
        <c:tickLblSkip val="1"/>
        <c:noMultiLvlLbl val="0"/>
      </c:catAx>
      <c:valAx>
        <c:axId val="210879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8"/>
          <c:w val="0.97325"/>
          <c:h val="0.8945"/>
        </c:manualLayout>
      </c:layout>
      <c:barChart>
        <c:barDir val="col"/>
        <c:grouping val="clustered"/>
        <c:varyColors val="0"/>
        <c:axId val="55574183"/>
        <c:axId val="30405600"/>
      </c:bar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05600"/>
        <c:crosses val="autoZero"/>
        <c:auto val="0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85725</xdr:rowOff>
    </xdr:from>
    <xdr:to>
      <xdr:col>10</xdr:col>
      <xdr:colOff>619125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23875" y="247650"/>
        <a:ext cx="7715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57150</xdr:rowOff>
    </xdr:from>
    <xdr:to>
      <xdr:col>11</xdr:col>
      <xdr:colOff>114300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00075" y="219075"/>
        <a:ext cx="7896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11</xdr:col>
      <xdr:colOff>219075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647700" y="161925"/>
        <a:ext cx="79533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50" zoomScaleNormal="150" workbookViewId="0" topLeftCell="A1">
      <selection activeCell="A1" sqref="A1:A9"/>
    </sheetView>
  </sheetViews>
  <sheetFormatPr defaultColWidth="11.57421875" defaultRowHeight="12.75"/>
  <cols>
    <col min="1" max="1" width="32.28125" style="0" customWidth="1"/>
    <col min="2" max="2" width="9.421875" style="0" customWidth="1"/>
    <col min="3" max="3" width="8.7109375" style="0" customWidth="1"/>
    <col min="4" max="4" width="8.8515625" style="0" customWidth="1"/>
    <col min="5" max="5" width="8.421875" style="0" customWidth="1"/>
    <col min="6" max="6" width="9.00390625" style="0" customWidth="1"/>
    <col min="7" max="16384" width="11.421875" style="0" customWidth="1"/>
  </cols>
  <sheetData>
    <row r="1" spans="1:7" ht="12">
      <c r="A1" s="7" t="s">
        <v>17</v>
      </c>
      <c r="B1">
        <f>0.8+1+3+3+2+1.5+1+1.5+0.8+0.8+1.5+0.8+1.5+0.8+1+4+1+2+3+1+2+1</f>
        <v>35</v>
      </c>
      <c r="C1">
        <v>22</v>
      </c>
      <c r="D1">
        <v>14</v>
      </c>
      <c r="E1">
        <v>7</v>
      </c>
      <c r="F1">
        <v>1</v>
      </c>
      <c r="G1">
        <f aca="true" t="shared" si="0" ref="G1:G13">IF(C1=0,0,IF(AND(F1&gt;0,E1&gt;0),B1+3,B1/2.5)+((C1-1)*0.02)+(D1*1.08)+(E1*0.33))</f>
        <v>55.85000000000001</v>
      </c>
    </row>
    <row r="2" spans="1:7" ht="12">
      <c r="A2" t="s">
        <v>0</v>
      </c>
      <c r="B2">
        <f>3+1.5+1+3+1.5+2+1+2+1+0.8+0.8+1+4+2+3+3+1.5+1+1</f>
        <v>34.1</v>
      </c>
      <c r="C2">
        <v>19</v>
      </c>
      <c r="D2">
        <v>13</v>
      </c>
      <c r="E2">
        <v>8</v>
      </c>
      <c r="F2">
        <v>1</v>
      </c>
      <c r="G2">
        <f t="shared" si="0"/>
        <v>54.14</v>
      </c>
    </row>
    <row r="3" spans="1:7" ht="12">
      <c r="A3" s="7" t="s">
        <v>9</v>
      </c>
      <c r="B3">
        <f>3+1.5+1+2+1+1+4+1+2+2+1.5+2</f>
        <v>22</v>
      </c>
      <c r="C3">
        <v>12</v>
      </c>
      <c r="D3">
        <v>9</v>
      </c>
      <c r="E3">
        <v>7</v>
      </c>
      <c r="F3">
        <v>1</v>
      </c>
      <c r="G3">
        <f t="shared" si="0"/>
        <v>37.25</v>
      </c>
    </row>
    <row r="4" spans="1:7" ht="12">
      <c r="A4" s="7" t="s">
        <v>27</v>
      </c>
      <c r="B4">
        <f>1+3+0.8+2+1+0.8+0.8+4+1+2+2+0.8+1</f>
        <v>20.2</v>
      </c>
      <c r="C4">
        <v>13</v>
      </c>
      <c r="D4">
        <v>7</v>
      </c>
      <c r="E4">
        <v>5</v>
      </c>
      <c r="F4">
        <v>1</v>
      </c>
      <c r="G4">
        <f t="shared" si="0"/>
        <v>32.65</v>
      </c>
    </row>
    <row r="5" spans="1:7" ht="12">
      <c r="A5" s="7" t="s">
        <v>4</v>
      </c>
      <c r="B5">
        <f>0.8+1+0.8+2+1+0.8+4+1+0.8+2</f>
        <v>14.2</v>
      </c>
      <c r="C5">
        <v>10</v>
      </c>
      <c r="D5">
        <v>5</v>
      </c>
      <c r="E5">
        <v>6</v>
      </c>
      <c r="F5">
        <v>1</v>
      </c>
      <c r="G5">
        <f t="shared" si="0"/>
        <v>24.76</v>
      </c>
    </row>
    <row r="6" spans="1:7" ht="12">
      <c r="A6" s="7" t="s">
        <v>26</v>
      </c>
      <c r="B6">
        <f>1+3+2+4+1+1</f>
        <v>12</v>
      </c>
      <c r="C6">
        <v>6</v>
      </c>
      <c r="D6">
        <v>6</v>
      </c>
      <c r="E6">
        <v>7</v>
      </c>
      <c r="F6">
        <v>1</v>
      </c>
      <c r="G6">
        <f t="shared" si="0"/>
        <v>23.889999999999997</v>
      </c>
    </row>
    <row r="7" spans="1:7" ht="12">
      <c r="A7" s="7" t="s">
        <v>122</v>
      </c>
      <c r="B7">
        <f>4+1+2+2+2</f>
        <v>11</v>
      </c>
      <c r="C7">
        <v>5</v>
      </c>
      <c r="D7">
        <v>3</v>
      </c>
      <c r="E7">
        <v>6</v>
      </c>
      <c r="F7">
        <v>1</v>
      </c>
      <c r="G7">
        <f t="shared" si="0"/>
        <v>19.3</v>
      </c>
    </row>
    <row r="8" spans="1:7" ht="12">
      <c r="A8" s="7" t="s">
        <v>72</v>
      </c>
      <c r="B8">
        <f>1.5+2+1.5+0.8+1.5+1</f>
        <v>8.3</v>
      </c>
      <c r="C8">
        <v>6</v>
      </c>
      <c r="D8">
        <v>6</v>
      </c>
      <c r="E8">
        <v>1</v>
      </c>
      <c r="F8">
        <v>1</v>
      </c>
      <c r="G8">
        <f t="shared" si="0"/>
        <v>18.21</v>
      </c>
    </row>
    <row r="9" spans="1:7" ht="12">
      <c r="A9" s="7" t="s">
        <v>24</v>
      </c>
      <c r="B9">
        <f>1+2+4+2</f>
        <v>9</v>
      </c>
      <c r="C9">
        <v>4</v>
      </c>
      <c r="D9">
        <v>5</v>
      </c>
      <c r="E9">
        <v>2</v>
      </c>
      <c r="F9">
        <v>1</v>
      </c>
      <c r="G9">
        <f t="shared" si="0"/>
        <v>18.12</v>
      </c>
    </row>
    <row r="10" spans="1:7" ht="12">
      <c r="A10" s="7" t="s">
        <v>92</v>
      </c>
      <c r="B10">
        <f>3+0.75+4+1</f>
        <v>8.75</v>
      </c>
      <c r="C10">
        <v>4</v>
      </c>
      <c r="D10">
        <v>3</v>
      </c>
      <c r="E10">
        <v>6</v>
      </c>
      <c r="F10">
        <v>1</v>
      </c>
      <c r="G10">
        <f t="shared" si="0"/>
        <v>17.03</v>
      </c>
    </row>
    <row r="11" spans="1:7" ht="12">
      <c r="A11" s="7" t="s">
        <v>22</v>
      </c>
      <c r="B11">
        <f>2+1+4</f>
        <v>7</v>
      </c>
      <c r="C11">
        <v>3</v>
      </c>
      <c r="D11">
        <v>3</v>
      </c>
      <c r="E11">
        <v>1</v>
      </c>
      <c r="F11">
        <v>1</v>
      </c>
      <c r="G11">
        <f t="shared" si="0"/>
        <v>13.61</v>
      </c>
    </row>
    <row r="12" spans="1:7" ht="12">
      <c r="A12" s="7" t="s">
        <v>20</v>
      </c>
      <c r="B12">
        <f>1+1+1+1+1</f>
        <v>5</v>
      </c>
      <c r="C12">
        <v>5</v>
      </c>
      <c r="D12">
        <v>7</v>
      </c>
      <c r="E12">
        <v>1</v>
      </c>
      <c r="G12">
        <f t="shared" si="0"/>
        <v>9.97</v>
      </c>
    </row>
    <row r="13" spans="1:7" ht="12">
      <c r="A13" s="7" t="s">
        <v>16</v>
      </c>
      <c r="B13">
        <f>0.8+0.75</f>
        <v>1.55</v>
      </c>
      <c r="C13">
        <v>2</v>
      </c>
      <c r="D13">
        <v>2</v>
      </c>
      <c r="E13">
        <v>1</v>
      </c>
      <c r="F13">
        <v>1</v>
      </c>
      <c r="G13">
        <f t="shared" si="0"/>
        <v>7.06</v>
      </c>
    </row>
    <row r="14" spans="1:7" ht="12">
      <c r="A14" s="7" t="s">
        <v>85</v>
      </c>
      <c r="D14">
        <v>2</v>
      </c>
      <c r="E14">
        <v>1</v>
      </c>
      <c r="F14">
        <v>1</v>
      </c>
      <c r="G14">
        <f>IF(AND(F14&gt;0,E14&gt;0),B14+3,B14/2.5)+((C14-1)*0.02)+(D14*1.08)+(E14*0.33)</f>
        <v>5.470000000000001</v>
      </c>
    </row>
    <row r="15" spans="1:7" ht="12">
      <c r="A15" s="7" t="s">
        <v>77</v>
      </c>
      <c r="B15">
        <f>1.5+2+1.5</f>
        <v>5</v>
      </c>
      <c r="C15">
        <v>3</v>
      </c>
      <c r="D15">
        <v>2</v>
      </c>
      <c r="F15">
        <v>1</v>
      </c>
      <c r="G15">
        <f>IF(C15=0,0,IF(AND(F15&gt;0,E15&gt;0),B15+3,B15/2.5)+((C15-1)*0.02)+(D15*1.08)+(E15*0.33))</f>
        <v>4.2</v>
      </c>
    </row>
    <row r="16" spans="1:7" ht="12">
      <c r="A16" s="7" t="s">
        <v>7</v>
      </c>
      <c r="B16">
        <f>0.8+0.8+0.8+0.8+0.8+0.8+0.8+0.8+0.8+0.8+0.8</f>
        <v>8.799999999999999</v>
      </c>
      <c r="C16">
        <v>11</v>
      </c>
      <c r="G16">
        <f>IF(C16=0,0,IF(AND(F16&gt;0,E16&gt;0),B16+3,B16/2.5)+((C16-1)*0.02)+(D16*1.08)+(E16*0.33))</f>
        <v>3.7199999999999998</v>
      </c>
    </row>
    <row r="17" spans="1:7" ht="12">
      <c r="A17" s="7" t="s">
        <v>29</v>
      </c>
      <c r="B17">
        <f>1+0.8+1+1</f>
        <v>3.8</v>
      </c>
      <c r="C17">
        <v>4</v>
      </c>
      <c r="D17">
        <v>1</v>
      </c>
      <c r="E17">
        <v>2</v>
      </c>
      <c r="G17">
        <f>IF(C17=0,0,IF(AND(F17&gt;0,E17&gt;0),B17+3,B17/2.5)+((C17-1)*0.02)+(D17*1.08)+(E17*0.33))</f>
        <v>3.3200000000000003</v>
      </c>
    </row>
    <row r="18" spans="1:7" ht="12">
      <c r="A18" s="7" t="s">
        <v>96</v>
      </c>
      <c r="B18">
        <f>0.75+1</f>
        <v>1.75</v>
      </c>
      <c r="C18">
        <v>2</v>
      </c>
      <c r="D18">
        <v>1</v>
      </c>
      <c r="E18">
        <v>3</v>
      </c>
      <c r="G18">
        <f>IF(C18=0,0,IF(AND(F18&gt;0,E18&gt;0),B18+3,B18/2.5)+((C18-1)*0.02)+(D18*1.08)+(E18*0.33))</f>
        <v>2.79</v>
      </c>
    </row>
    <row r="19" spans="1:7" ht="12">
      <c r="A19" s="7" t="s">
        <v>21</v>
      </c>
      <c r="B19">
        <f>1.5</f>
        <v>1.5</v>
      </c>
      <c r="C19">
        <v>1</v>
      </c>
      <c r="D19">
        <v>1</v>
      </c>
      <c r="E19">
        <v>1</v>
      </c>
      <c r="G19">
        <f>IF(C19=0,0,IF(AND(F19&gt;0,E19&gt;0),B19+3,B19/2.5)+((C19-1)*0.02)+(D19*1.08)+(E19*0.33))</f>
        <v>2.0100000000000002</v>
      </c>
    </row>
    <row r="20" spans="1:7" ht="12">
      <c r="A20" s="7" t="s">
        <v>23</v>
      </c>
      <c r="D20">
        <v>1</v>
      </c>
      <c r="E20">
        <v>2</v>
      </c>
      <c r="G20">
        <f>IF(AND(F20&gt;0,E20&gt;0),B20+3,B20/2.5)+((C20-1)*0.02)+(D20*1.08)+(E20*0.33)</f>
        <v>1.7200000000000002</v>
      </c>
    </row>
    <row r="21" spans="1:7" ht="12">
      <c r="A21" s="7" t="s">
        <v>28</v>
      </c>
      <c r="B21">
        <f>1</f>
        <v>1</v>
      </c>
      <c r="C21">
        <v>1</v>
      </c>
      <c r="D21">
        <v>1</v>
      </c>
      <c r="G21">
        <f>IF(C21=0,0,IF(AND(F21&gt;0,E21&gt;0),B21+3,B21/2.5)+((C21-1)*0.02)+(D21*1.08)+(E21*0.33))</f>
        <v>1.48</v>
      </c>
    </row>
    <row r="22" spans="1:7" ht="12">
      <c r="A22" s="7" t="s">
        <v>115</v>
      </c>
      <c r="B22">
        <f>1</f>
        <v>1</v>
      </c>
      <c r="C22">
        <v>1</v>
      </c>
      <c r="E22">
        <v>1</v>
      </c>
      <c r="G22">
        <f>IF(C22=0,0,IF(AND(F22&gt;0,E22&gt;0),B22+3,B22/2.5)+((C22-1)*0.02)+(D22*1.08)+(E22*0.33))</f>
        <v>0.73</v>
      </c>
    </row>
    <row r="23" spans="1:7" ht="12">
      <c r="A23" s="7" t="s">
        <v>94</v>
      </c>
      <c r="B23">
        <f>1</f>
        <v>1</v>
      </c>
      <c r="C23">
        <v>1</v>
      </c>
      <c r="E23">
        <v>1</v>
      </c>
      <c r="G23">
        <f>IF(C23=0,0,IF(AND(F23&gt;0,E23&gt;0),B23+3,B23/2.5)+((C23-1)*0.02)+(D23*1.08)+(E23*0.33))</f>
        <v>0.73</v>
      </c>
    </row>
    <row r="24" spans="1:7" ht="12">
      <c r="A24" s="7" t="s">
        <v>112</v>
      </c>
      <c r="B24">
        <f>0.8</f>
        <v>0.8</v>
      </c>
      <c r="C24">
        <v>1</v>
      </c>
      <c r="G24">
        <f>IF(C24=0,0,IF(AND(F24&gt;0,E24&gt;0),B24+3,B24/2.5)+((C24-1)*0.02)+(D24*1.08)+(E24*0.33))</f>
        <v>0.32</v>
      </c>
    </row>
    <row r="25" spans="1:7" ht="12">
      <c r="A25" s="7" t="s">
        <v>93</v>
      </c>
      <c r="E25">
        <v>1</v>
      </c>
      <c r="G25">
        <f aca="true" t="shared" si="1" ref="G25:G39">IF(C25=0,0,IF(AND(F25&gt;0,E25&gt;0),B25+3,B25/2.5)+((C25-1)*0.02)+(D25*0.75)+(E25*0.33))</f>
        <v>0</v>
      </c>
    </row>
    <row r="26" spans="1:7" ht="12">
      <c r="A26" s="7" t="s">
        <v>75</v>
      </c>
      <c r="E26">
        <v>2</v>
      </c>
      <c r="G26">
        <f t="shared" si="1"/>
        <v>0</v>
      </c>
    </row>
    <row r="27" spans="1:7" ht="12">
      <c r="A27" s="7" t="s">
        <v>95</v>
      </c>
      <c r="E27">
        <v>1</v>
      </c>
      <c r="G27">
        <f t="shared" si="1"/>
        <v>0</v>
      </c>
    </row>
    <row r="28" spans="1:7" ht="12">
      <c r="A28" s="7" t="s">
        <v>97</v>
      </c>
      <c r="E28">
        <v>1</v>
      </c>
      <c r="G28">
        <f t="shared" si="1"/>
        <v>0</v>
      </c>
    </row>
    <row r="29" spans="1:7" ht="12">
      <c r="A29" s="7" t="s">
        <v>114</v>
      </c>
      <c r="D29">
        <v>1</v>
      </c>
      <c r="E29">
        <v>1</v>
      </c>
      <c r="G29">
        <f t="shared" si="1"/>
        <v>0</v>
      </c>
    </row>
    <row r="30" spans="1:7" ht="12">
      <c r="A30" s="7" t="s">
        <v>119</v>
      </c>
      <c r="E30">
        <v>1</v>
      </c>
      <c r="G30">
        <f t="shared" si="1"/>
        <v>0</v>
      </c>
    </row>
    <row r="31" spans="1:7" ht="12">
      <c r="A31" s="7" t="s">
        <v>120</v>
      </c>
      <c r="E31">
        <v>2</v>
      </c>
      <c r="G31">
        <f t="shared" si="1"/>
        <v>0</v>
      </c>
    </row>
    <row r="32" spans="1:7" ht="12">
      <c r="A32" s="7" t="s">
        <v>126</v>
      </c>
      <c r="E32">
        <v>1</v>
      </c>
      <c r="G32">
        <f t="shared" si="1"/>
        <v>0</v>
      </c>
    </row>
    <row r="33" spans="1:7" ht="12">
      <c r="A33" s="7" t="s">
        <v>127</v>
      </c>
      <c r="E33">
        <v>2</v>
      </c>
      <c r="G33">
        <f t="shared" si="1"/>
        <v>0</v>
      </c>
    </row>
    <row r="34" spans="1:7" ht="12">
      <c r="A34" s="7" t="s">
        <v>128</v>
      </c>
      <c r="E34">
        <v>2</v>
      </c>
      <c r="G34">
        <f t="shared" si="1"/>
        <v>0</v>
      </c>
    </row>
    <row r="35" spans="1:7" ht="12">
      <c r="A35" s="7" t="s">
        <v>129</v>
      </c>
      <c r="E35">
        <v>1</v>
      </c>
      <c r="G35">
        <f t="shared" si="1"/>
        <v>0</v>
      </c>
    </row>
    <row r="36" spans="1:7" ht="12">
      <c r="A36" s="7" t="s">
        <v>137</v>
      </c>
      <c r="E36">
        <v>1</v>
      </c>
      <c r="G36">
        <f t="shared" si="1"/>
        <v>0</v>
      </c>
    </row>
    <row r="37" spans="1:7" ht="12">
      <c r="A37" s="7" t="s">
        <v>138</v>
      </c>
      <c r="E37">
        <v>1</v>
      </c>
      <c r="G37">
        <f t="shared" si="1"/>
        <v>0</v>
      </c>
    </row>
    <row r="38" ht="12">
      <c r="G38">
        <f t="shared" si="1"/>
        <v>0</v>
      </c>
    </row>
    <row r="39" ht="12">
      <c r="G39">
        <f t="shared" si="1"/>
        <v>0</v>
      </c>
    </row>
    <row r="48" ht="12">
      <c r="A48" s="1"/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1.140625" style="0" customWidth="1"/>
    <col min="2" max="16384" width="11.421875" style="0" customWidth="1"/>
  </cols>
  <sheetData>
    <row r="1" spans="1:7" ht="12">
      <c r="A1" s="7" t="s">
        <v>10</v>
      </c>
      <c r="B1">
        <f>3+1+2+2+1+3+1.5+1.5+1+1+1+1+4+1+2+1</f>
        <v>27</v>
      </c>
      <c r="C1">
        <v>16</v>
      </c>
      <c r="D1">
        <v>3</v>
      </c>
      <c r="E1">
        <v>7</v>
      </c>
      <c r="F1">
        <v>1</v>
      </c>
      <c r="G1">
        <f aca="true" t="shared" si="0" ref="G1:G27">IF((F1&gt;0),B1+3,B1/2.5)+(C1-1)*0.111+D1*0.35+E1*0.222</f>
        <v>34.269</v>
      </c>
    </row>
    <row r="2" spans="1:7" ht="12">
      <c r="A2" s="7" t="s">
        <v>18</v>
      </c>
      <c r="B2">
        <f>0.8+1+1+2+2+1+1.5+0.8+0.8+0.8+0.8+1+1+4+1+1.5+1+2</f>
        <v>24.000000000000004</v>
      </c>
      <c r="C2">
        <v>18</v>
      </c>
      <c r="D2">
        <v>5</v>
      </c>
      <c r="E2">
        <v>7</v>
      </c>
      <c r="F2">
        <v>1</v>
      </c>
      <c r="G2">
        <f t="shared" si="0"/>
        <v>32.191</v>
      </c>
    </row>
    <row r="3" spans="1:7" ht="12">
      <c r="A3" s="6" t="s">
        <v>1</v>
      </c>
      <c r="B3">
        <f>3+1+1+2+2+1+0.8+0.8+1+1+4+1+3+1</f>
        <v>22.6</v>
      </c>
      <c r="C3">
        <v>14</v>
      </c>
      <c r="D3">
        <v>6</v>
      </c>
      <c r="E3">
        <v>8</v>
      </c>
      <c r="F3">
        <v>1</v>
      </c>
      <c r="G3">
        <f t="shared" si="0"/>
        <v>30.919</v>
      </c>
    </row>
    <row r="4" spans="1:7" ht="12">
      <c r="A4" s="7" t="s">
        <v>33</v>
      </c>
      <c r="B4">
        <f>1+1+0.8+2+2+0.8+0.8+1+1+4+1+0.8+1</f>
        <v>17.2</v>
      </c>
      <c r="C4">
        <v>13</v>
      </c>
      <c r="E4">
        <v>5</v>
      </c>
      <c r="F4">
        <v>1</v>
      </c>
      <c r="G4">
        <f t="shared" si="0"/>
        <v>22.642</v>
      </c>
    </row>
    <row r="5" spans="1:7" ht="12">
      <c r="A5" s="7" t="s">
        <v>5</v>
      </c>
      <c r="B5">
        <f>0.8+0.8+2+0.8+1+1+0.8+2</f>
        <v>9.2</v>
      </c>
      <c r="C5">
        <v>8</v>
      </c>
      <c r="D5">
        <v>2</v>
      </c>
      <c r="E5">
        <v>6</v>
      </c>
      <c r="F5">
        <v>1</v>
      </c>
      <c r="G5">
        <f t="shared" si="0"/>
        <v>15.008999999999999</v>
      </c>
    </row>
    <row r="6" spans="1:7" ht="12">
      <c r="A6" s="7" t="s">
        <v>118</v>
      </c>
      <c r="B6">
        <f>1+1+4+1+2</f>
        <v>9</v>
      </c>
      <c r="C6">
        <v>5</v>
      </c>
      <c r="E6">
        <v>6</v>
      </c>
      <c r="F6">
        <v>1</v>
      </c>
      <c r="G6">
        <f t="shared" si="0"/>
        <v>13.776000000000002</v>
      </c>
    </row>
    <row r="7" spans="1:7" ht="12">
      <c r="A7" s="7" t="s">
        <v>111</v>
      </c>
      <c r="B7">
        <f>3+1.5+0.8+1.5+1.5</f>
        <v>8.3</v>
      </c>
      <c r="C7">
        <v>5</v>
      </c>
      <c r="D7">
        <v>4</v>
      </c>
      <c r="E7">
        <v>1</v>
      </c>
      <c r="F7">
        <v>1</v>
      </c>
      <c r="G7">
        <f t="shared" si="0"/>
        <v>13.366000000000001</v>
      </c>
    </row>
    <row r="8" spans="1:7" ht="12">
      <c r="A8" s="7" t="s">
        <v>32</v>
      </c>
      <c r="B8">
        <f>1+1+1+1</f>
        <v>4</v>
      </c>
      <c r="C8">
        <v>4</v>
      </c>
      <c r="D8">
        <v>1</v>
      </c>
      <c r="E8">
        <v>7</v>
      </c>
      <c r="F8">
        <v>1</v>
      </c>
      <c r="G8">
        <f t="shared" si="0"/>
        <v>9.237</v>
      </c>
    </row>
    <row r="9" spans="1:7" ht="12">
      <c r="A9" s="7" t="s">
        <v>100</v>
      </c>
      <c r="B9">
        <f>2+2+1</f>
        <v>5</v>
      </c>
      <c r="C9">
        <v>3</v>
      </c>
      <c r="E9">
        <v>1</v>
      </c>
      <c r="F9">
        <v>1</v>
      </c>
      <c r="G9">
        <f t="shared" si="0"/>
        <v>8.443999999999999</v>
      </c>
    </row>
    <row r="10" spans="1:7" ht="12">
      <c r="A10" s="7" t="s">
        <v>35</v>
      </c>
      <c r="B10">
        <f>1+1+2</f>
        <v>4</v>
      </c>
      <c r="C10">
        <v>3</v>
      </c>
      <c r="E10">
        <v>2</v>
      </c>
      <c r="F10">
        <v>1</v>
      </c>
      <c r="G10">
        <f t="shared" si="0"/>
        <v>7.666</v>
      </c>
    </row>
    <row r="11" spans="1:7" ht="12">
      <c r="A11" s="7" t="s">
        <v>98</v>
      </c>
      <c r="B11">
        <f>1+1+1</f>
        <v>3</v>
      </c>
      <c r="C11">
        <v>3</v>
      </c>
      <c r="E11">
        <v>6</v>
      </c>
      <c r="F11">
        <v>1</v>
      </c>
      <c r="G11">
        <f t="shared" si="0"/>
        <v>7.554</v>
      </c>
    </row>
    <row r="12" spans="1:7" ht="12">
      <c r="A12" s="7" t="s">
        <v>78</v>
      </c>
      <c r="B12">
        <f>1.5+1</f>
        <v>2.5</v>
      </c>
      <c r="C12">
        <v>2</v>
      </c>
      <c r="D12">
        <v>2</v>
      </c>
      <c r="F12">
        <v>1</v>
      </c>
      <c r="G12">
        <f t="shared" si="0"/>
        <v>6.311</v>
      </c>
    </row>
    <row r="13" spans="1:7" ht="12">
      <c r="A13" s="7" t="s">
        <v>8</v>
      </c>
      <c r="B13">
        <f>0.8+0.8+0.8+0.8+0.8+0.8+0.8+0.8+0.8+0.8+0.8</f>
        <v>8.799999999999999</v>
      </c>
      <c r="C13">
        <v>11</v>
      </c>
      <c r="G13">
        <f t="shared" si="0"/>
        <v>4.63</v>
      </c>
    </row>
    <row r="14" spans="1:7" ht="12">
      <c r="A14" s="7" t="s">
        <v>19</v>
      </c>
      <c r="B14">
        <f>0.8</f>
        <v>0.8</v>
      </c>
      <c r="C14">
        <v>1</v>
      </c>
      <c r="E14">
        <v>1</v>
      </c>
      <c r="F14">
        <v>1</v>
      </c>
      <c r="G14">
        <f t="shared" si="0"/>
        <v>4.022</v>
      </c>
    </row>
    <row r="15" spans="1:7" ht="12">
      <c r="A15" s="7" t="s">
        <v>30</v>
      </c>
      <c r="B15">
        <f>1+1.5+1.5+1+1+1</f>
        <v>7</v>
      </c>
      <c r="C15">
        <v>6</v>
      </c>
      <c r="E15">
        <v>1</v>
      </c>
      <c r="G15">
        <f t="shared" si="0"/>
        <v>3.577</v>
      </c>
    </row>
    <row r="16" spans="1:7" ht="12">
      <c r="A16" s="7" t="s">
        <v>34</v>
      </c>
      <c r="B16">
        <f>1+0.8+1+1</f>
        <v>3.8</v>
      </c>
      <c r="C16">
        <v>4</v>
      </c>
      <c r="E16">
        <v>2</v>
      </c>
      <c r="G16">
        <f t="shared" si="0"/>
        <v>2.297</v>
      </c>
    </row>
    <row r="17" spans="1:7" ht="12" hidden="1">
      <c r="A17" s="7" t="s">
        <v>81</v>
      </c>
      <c r="D17">
        <v>1</v>
      </c>
      <c r="G17">
        <f t="shared" si="0"/>
        <v>0.239</v>
      </c>
    </row>
    <row r="18" spans="1:7" ht="12">
      <c r="A18" s="7" t="s">
        <v>25</v>
      </c>
      <c r="B18">
        <f>1+1</f>
        <v>2</v>
      </c>
      <c r="C18">
        <v>2</v>
      </c>
      <c r="D18">
        <v>1</v>
      </c>
      <c r="E18">
        <v>1</v>
      </c>
      <c r="G18">
        <f t="shared" si="0"/>
        <v>1.483</v>
      </c>
    </row>
    <row r="19" spans="1:7" ht="12">
      <c r="A19" s="7" t="s">
        <v>6</v>
      </c>
      <c r="B19">
        <f>1</f>
        <v>1</v>
      </c>
      <c r="C19">
        <v>1</v>
      </c>
      <c r="D19">
        <v>2</v>
      </c>
      <c r="E19">
        <v>1</v>
      </c>
      <c r="G19">
        <f t="shared" si="0"/>
        <v>1.322</v>
      </c>
    </row>
    <row r="20" spans="1:7" ht="12">
      <c r="A20" s="7" t="s">
        <v>130</v>
      </c>
      <c r="D20">
        <v>1</v>
      </c>
      <c r="E20">
        <v>3</v>
      </c>
      <c r="G20">
        <f t="shared" si="0"/>
        <v>0.905</v>
      </c>
    </row>
    <row r="21" spans="1:7" ht="12">
      <c r="A21" s="7" t="s">
        <v>76</v>
      </c>
      <c r="B21">
        <f>1</f>
        <v>1</v>
      </c>
      <c r="C21">
        <v>1</v>
      </c>
      <c r="D21">
        <v>1</v>
      </c>
      <c r="G21">
        <f t="shared" si="0"/>
        <v>0.75</v>
      </c>
    </row>
    <row r="22" spans="1:7" ht="12">
      <c r="A22" s="7" t="s">
        <v>124</v>
      </c>
      <c r="B22">
        <f>1</f>
        <v>1</v>
      </c>
      <c r="C22">
        <v>1</v>
      </c>
      <c r="E22">
        <v>1</v>
      </c>
      <c r="G22">
        <f t="shared" si="0"/>
        <v>0.622</v>
      </c>
    </row>
    <row r="23" spans="1:7" ht="12">
      <c r="A23" s="7" t="s">
        <v>31</v>
      </c>
      <c r="B23">
        <f>1</f>
        <v>1</v>
      </c>
      <c r="C23">
        <v>1</v>
      </c>
      <c r="G23">
        <f t="shared" si="0"/>
        <v>0.4</v>
      </c>
    </row>
    <row r="24" spans="1:7" ht="12">
      <c r="A24" s="7" t="s">
        <v>113</v>
      </c>
      <c r="B24">
        <f>0.8</f>
        <v>0.8</v>
      </c>
      <c r="C24">
        <v>1</v>
      </c>
      <c r="G24">
        <f t="shared" si="0"/>
        <v>0.32</v>
      </c>
    </row>
    <row r="25" spans="1:7" ht="12">
      <c r="A25" s="7" t="s">
        <v>82</v>
      </c>
      <c r="D25">
        <v>1</v>
      </c>
      <c r="G25">
        <f t="shared" si="0"/>
        <v>0.239</v>
      </c>
    </row>
    <row r="26" spans="1:7" ht="12">
      <c r="A26" s="7" t="s">
        <v>83</v>
      </c>
      <c r="D26">
        <v>1</v>
      </c>
      <c r="G26">
        <f t="shared" si="0"/>
        <v>0.239</v>
      </c>
    </row>
    <row r="27" spans="1:7" ht="12">
      <c r="A27" s="7" t="s">
        <v>84</v>
      </c>
      <c r="D27">
        <v>1</v>
      </c>
      <c r="G27">
        <f t="shared" si="0"/>
        <v>0.239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39.7109375" style="0" customWidth="1"/>
    <col min="2" max="16384" width="11.421875" style="0" customWidth="1"/>
  </cols>
  <sheetData>
    <row r="1" spans="1:4" ht="12">
      <c r="A1" t="s">
        <v>11</v>
      </c>
      <c r="B1">
        <f>3+1+3+4+2+1+1.5+1.5+1+3+1+1</f>
        <v>23</v>
      </c>
      <c r="C1">
        <v>12</v>
      </c>
      <c r="D1">
        <f aca="true" t="shared" si="0" ref="D1:D14">B1+(0.11*(C1-1))</f>
        <v>24.21</v>
      </c>
    </row>
    <row r="2" spans="1:4" ht="12">
      <c r="A2" t="s">
        <v>37</v>
      </c>
      <c r="B2">
        <f>1+2+1+2+1.5+1.5+1+2</f>
        <v>12</v>
      </c>
      <c r="C2">
        <v>8</v>
      </c>
      <c r="D2">
        <f t="shared" si="0"/>
        <v>12.77</v>
      </c>
    </row>
    <row r="3" spans="1:4" ht="12">
      <c r="A3" t="s">
        <v>87</v>
      </c>
      <c r="B3">
        <f>4+3+1+1+1+1</f>
        <v>11</v>
      </c>
      <c r="C3">
        <v>6</v>
      </c>
      <c r="D3">
        <f t="shared" si="0"/>
        <v>11.55</v>
      </c>
    </row>
    <row r="4" spans="1:4" ht="12">
      <c r="A4" t="s">
        <v>43</v>
      </c>
      <c r="B4">
        <f>1+4+2+1</f>
        <v>8</v>
      </c>
      <c r="C4">
        <v>4</v>
      </c>
      <c r="D4">
        <f t="shared" si="0"/>
        <v>8.33</v>
      </c>
    </row>
    <row r="5" spans="1:4" ht="12">
      <c r="A5" t="s">
        <v>42</v>
      </c>
      <c r="B5">
        <f>1+1+1+1+1+2</f>
        <v>7</v>
      </c>
      <c r="C5">
        <v>6</v>
      </c>
      <c r="D5">
        <f t="shared" si="0"/>
        <v>7.55</v>
      </c>
    </row>
    <row r="6" spans="1:4" ht="12">
      <c r="A6" t="s">
        <v>36</v>
      </c>
      <c r="B6">
        <f>1+4+2</f>
        <v>7</v>
      </c>
      <c r="C6">
        <v>3</v>
      </c>
      <c r="D6">
        <f t="shared" si="0"/>
        <v>7.22</v>
      </c>
    </row>
    <row r="7" spans="1:4" ht="12">
      <c r="A7" t="s">
        <v>44</v>
      </c>
      <c r="B7">
        <f>1.5+2+1.5+1+1-1</f>
        <v>6</v>
      </c>
      <c r="C7">
        <v>5</v>
      </c>
      <c r="D7">
        <f t="shared" si="0"/>
        <v>6.44</v>
      </c>
    </row>
    <row r="8" spans="1:4" ht="12">
      <c r="A8" t="s">
        <v>86</v>
      </c>
      <c r="B8">
        <f>4+1-1</f>
        <v>4</v>
      </c>
      <c r="C8">
        <v>2</v>
      </c>
      <c r="D8">
        <f t="shared" si="0"/>
        <v>4.11</v>
      </c>
    </row>
    <row r="9" spans="1:4" ht="12">
      <c r="A9" t="s">
        <v>105</v>
      </c>
      <c r="B9">
        <f>2+1</f>
        <v>3</v>
      </c>
      <c r="C9">
        <v>2</v>
      </c>
      <c r="D9">
        <f t="shared" si="0"/>
        <v>3.11</v>
      </c>
    </row>
    <row r="10" spans="1:4" ht="12">
      <c r="A10" t="s">
        <v>101</v>
      </c>
      <c r="B10">
        <f>2</f>
        <v>2</v>
      </c>
      <c r="C10">
        <v>1</v>
      </c>
      <c r="D10">
        <f t="shared" si="0"/>
        <v>2</v>
      </c>
    </row>
    <row r="11" spans="1:4" ht="12">
      <c r="A11" t="s">
        <v>39</v>
      </c>
      <c r="B11">
        <f>1.5</f>
        <v>1.5</v>
      </c>
      <c r="C11">
        <v>1</v>
      </c>
      <c r="D11">
        <f t="shared" si="0"/>
        <v>1.5</v>
      </c>
    </row>
    <row r="12" spans="1:4" ht="12">
      <c r="A12" t="s">
        <v>41</v>
      </c>
      <c r="B12">
        <f>1</f>
        <v>1</v>
      </c>
      <c r="C12">
        <v>1</v>
      </c>
      <c r="D12">
        <f t="shared" si="0"/>
        <v>1</v>
      </c>
    </row>
    <row r="13" spans="1:4" ht="12">
      <c r="A13" t="s">
        <v>38</v>
      </c>
      <c r="B13">
        <f>1+0.75-1</f>
        <v>0.75</v>
      </c>
      <c r="C13">
        <v>2</v>
      </c>
      <c r="D13">
        <f t="shared" si="0"/>
        <v>0.86</v>
      </c>
    </row>
    <row r="14" spans="1:4" ht="12">
      <c r="A14" t="s">
        <v>104</v>
      </c>
      <c r="B14">
        <f>0.75</f>
        <v>0.75</v>
      </c>
      <c r="C14">
        <v>1</v>
      </c>
      <c r="D14">
        <f t="shared" si="0"/>
        <v>0.75</v>
      </c>
    </row>
    <row r="15" spans="1:4" ht="12">
      <c r="A15" t="s">
        <v>40</v>
      </c>
      <c r="B15">
        <f>1</f>
        <v>1</v>
      </c>
      <c r="C15">
        <v>1</v>
      </c>
      <c r="D15">
        <f>B15/3.3+(0.11*(C15-1))</f>
        <v>0.30303030303030304</v>
      </c>
    </row>
    <row r="16" ht="12">
      <c r="D16">
        <f aca="true" t="shared" si="1" ref="D16:D24">B16+(0.11*(C16-1))</f>
        <v>-0.11</v>
      </c>
    </row>
    <row r="17" ht="12">
      <c r="D17">
        <f t="shared" si="1"/>
        <v>-0.11</v>
      </c>
    </row>
    <row r="18" ht="12">
      <c r="D18">
        <f t="shared" si="1"/>
        <v>-0.11</v>
      </c>
    </row>
    <row r="19" ht="12">
      <c r="D19">
        <f t="shared" si="1"/>
        <v>-0.11</v>
      </c>
    </row>
    <row r="20" ht="12">
      <c r="D20">
        <f t="shared" si="1"/>
        <v>-0.11</v>
      </c>
    </row>
    <row r="21" ht="12">
      <c r="D21">
        <f t="shared" si="1"/>
        <v>-0.11</v>
      </c>
    </row>
    <row r="22" ht="12">
      <c r="D22">
        <f t="shared" si="1"/>
        <v>-0.11</v>
      </c>
    </row>
    <row r="23" ht="12">
      <c r="D23">
        <f t="shared" si="1"/>
        <v>-0.11</v>
      </c>
    </row>
    <row r="24" ht="12">
      <c r="D24">
        <f t="shared" si="1"/>
        <v>-0.11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3.140625" style="0" customWidth="1"/>
    <col min="2" max="3" width="8.8515625" style="0" customWidth="1"/>
    <col min="4" max="4" width="9.28125" style="0" customWidth="1"/>
    <col min="5" max="16384" width="11.421875" style="0" customWidth="1"/>
  </cols>
  <sheetData>
    <row r="1" spans="1:4" ht="12">
      <c r="A1" t="s">
        <v>2</v>
      </c>
      <c r="B1">
        <f>3+1+2+4+1+3+1.5+1+1</f>
        <v>17.5</v>
      </c>
      <c r="C1">
        <v>9</v>
      </c>
      <c r="D1">
        <f aca="true" t="shared" si="0" ref="D1:D6">B1+(0.11*(C1-1))</f>
        <v>18.38</v>
      </c>
    </row>
    <row r="2" spans="1:4" ht="12">
      <c r="A2" t="s">
        <v>51</v>
      </c>
      <c r="B2">
        <f>1+4+1+1.5+1.5+2+1.5+1+1</f>
        <v>14.5</v>
      </c>
      <c r="C2">
        <v>9</v>
      </c>
      <c r="D2">
        <f t="shared" si="0"/>
        <v>15.38</v>
      </c>
    </row>
    <row r="3" spans="1:4" ht="12">
      <c r="A3" t="s">
        <v>12</v>
      </c>
      <c r="B3">
        <f>3+1.5+2+4+2+1.5+1-1</f>
        <v>14</v>
      </c>
      <c r="C3">
        <v>7</v>
      </c>
      <c r="D3">
        <f t="shared" si="0"/>
        <v>14.66</v>
      </c>
    </row>
    <row r="4" spans="1:4" ht="12">
      <c r="A4" t="s">
        <v>47</v>
      </c>
      <c r="B4">
        <f>1.5+4+2+2+3+1</f>
        <v>13.5</v>
      </c>
      <c r="C4">
        <v>6</v>
      </c>
      <c r="D4">
        <f t="shared" si="0"/>
        <v>14.05</v>
      </c>
    </row>
    <row r="5" spans="1:4" ht="12">
      <c r="A5" t="s">
        <v>45</v>
      </c>
      <c r="B5">
        <f>1+4+2-1</f>
        <v>6</v>
      </c>
      <c r="C5">
        <v>3</v>
      </c>
      <c r="D5">
        <f t="shared" si="0"/>
        <v>6.22</v>
      </c>
    </row>
    <row r="6" spans="1:4" ht="12">
      <c r="A6" t="s">
        <v>136</v>
      </c>
      <c r="B6">
        <f>2+2+1</f>
        <v>5</v>
      </c>
      <c r="C6">
        <v>3</v>
      </c>
      <c r="D6">
        <f t="shared" si="0"/>
        <v>5.22</v>
      </c>
    </row>
    <row r="7" spans="1:4" ht="12">
      <c r="A7" t="s">
        <v>80</v>
      </c>
      <c r="B7">
        <f>2+1+1+1.5</f>
        <v>5.5</v>
      </c>
      <c r="C7">
        <v>4</v>
      </c>
      <c r="D7">
        <f>B7/3.3+(0.11*(C7-1))</f>
        <v>1.9966666666666668</v>
      </c>
    </row>
    <row r="8" spans="1:4" ht="12">
      <c r="A8" t="s">
        <v>49</v>
      </c>
      <c r="B8">
        <f>1+1+1+1</f>
        <v>4</v>
      </c>
      <c r="C8">
        <v>4</v>
      </c>
      <c r="D8">
        <f>B8/3.3+(0.11*(C8-1))</f>
        <v>1.5421212121212122</v>
      </c>
    </row>
    <row r="9" spans="1:4" ht="12">
      <c r="A9" t="s">
        <v>50</v>
      </c>
      <c r="B9">
        <f>1+0.75-1</f>
        <v>0.75</v>
      </c>
      <c r="C9">
        <v>2</v>
      </c>
      <c r="D9">
        <f>B9+(0.11*(C9-1))</f>
        <v>0.86</v>
      </c>
    </row>
    <row r="10" spans="1:4" ht="12">
      <c r="A10" t="s">
        <v>103</v>
      </c>
      <c r="B10">
        <f>0.75</f>
        <v>0.75</v>
      </c>
      <c r="C10">
        <v>1</v>
      </c>
      <c r="D10">
        <f>B10+(0.11*(C10-1))</f>
        <v>0.75</v>
      </c>
    </row>
    <row r="11" spans="1:4" ht="12">
      <c r="A11" t="s">
        <v>46</v>
      </c>
      <c r="B11">
        <f>1+1</f>
        <v>2</v>
      </c>
      <c r="C11">
        <v>2</v>
      </c>
      <c r="D11">
        <f>B11/3.3+(0.11*(C11-1))</f>
        <v>0.7160606060606061</v>
      </c>
    </row>
    <row r="12" spans="1:4" ht="12">
      <c r="A12" t="s">
        <v>99</v>
      </c>
      <c r="B12">
        <f>1.5</f>
        <v>1.5</v>
      </c>
      <c r="C12">
        <v>1</v>
      </c>
      <c r="D12">
        <f>B12/3.3+(0.11*(C12-1))</f>
        <v>0.4545454545454546</v>
      </c>
    </row>
    <row r="13" spans="1:4" ht="12">
      <c r="A13" t="s">
        <v>52</v>
      </c>
      <c r="B13">
        <f>1</f>
        <v>1</v>
      </c>
      <c r="C13">
        <v>1</v>
      </c>
      <c r="D13">
        <f>B13/3.3+(0.11*(C13-1))</f>
        <v>0.30303030303030304</v>
      </c>
    </row>
    <row r="14" spans="1:4" ht="12">
      <c r="A14" t="s">
        <v>107</v>
      </c>
      <c r="B14">
        <f>1-1</f>
        <v>0</v>
      </c>
      <c r="C14">
        <v>1</v>
      </c>
      <c r="D14">
        <f>B14+(0.11*(C14-1))</f>
        <v>0</v>
      </c>
    </row>
    <row r="15" spans="1:4" ht="12">
      <c r="A15" t="s">
        <v>48</v>
      </c>
      <c r="B15">
        <f>1-1</f>
        <v>0</v>
      </c>
      <c r="C15">
        <v>1</v>
      </c>
      <c r="D15">
        <f>B15+(0.11*(C15-1))</f>
        <v>0</v>
      </c>
    </row>
    <row r="16" spans="1:4" ht="12">
      <c r="A16" t="s">
        <v>102</v>
      </c>
      <c r="B16">
        <f>0.75-1</f>
        <v>-0.25</v>
      </c>
      <c r="C16">
        <v>1</v>
      </c>
      <c r="D16">
        <f>B16+(0.11*(C16-1))</f>
        <v>-0.25</v>
      </c>
    </row>
    <row r="17" ht="12">
      <c r="A17" s="7"/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2.00390625" style="0" customWidth="1"/>
    <col min="2" max="16384" width="11.421875" style="0" customWidth="1"/>
  </cols>
  <sheetData>
    <row r="1" spans="1:4" ht="12">
      <c r="A1" s="5" t="s">
        <v>13</v>
      </c>
      <c r="B1">
        <f>3+1+3+4+3+2+1+1.5+2+2+1.5+1.5+1+3+1</f>
        <v>30.5</v>
      </c>
      <c r="C1">
        <v>15</v>
      </c>
      <c r="D1">
        <f>(B1/2.5+(0.11*(C1-1)))</f>
        <v>13.739999999999998</v>
      </c>
    </row>
    <row r="2" spans="1:4" ht="12">
      <c r="A2" s="7" t="s">
        <v>3</v>
      </c>
      <c r="B2">
        <f>3+1.5+2+2+1.5+1.5+1+1.5</f>
        <v>14</v>
      </c>
      <c r="C2">
        <v>8</v>
      </c>
      <c r="D2">
        <f>(B2+(0.11*(C2-1)))</f>
        <v>14.77</v>
      </c>
    </row>
    <row r="3" spans="1:4" ht="12">
      <c r="A3" t="s">
        <v>53</v>
      </c>
      <c r="B3">
        <f>1+4+2+2+1</f>
        <v>10</v>
      </c>
      <c r="C3">
        <v>5</v>
      </c>
      <c r="D3">
        <f>(B3+(0.11*(C3-1)))</f>
        <v>10.44</v>
      </c>
    </row>
    <row r="4" spans="1:4" ht="12">
      <c r="A4" t="s">
        <v>57</v>
      </c>
      <c r="B4">
        <f>1+4+1.5+1+1</f>
        <v>8.5</v>
      </c>
      <c r="C4">
        <v>5</v>
      </c>
      <c r="D4">
        <f>(B4+(0.11*(C4-1)))</f>
        <v>8.94</v>
      </c>
    </row>
    <row r="5" spans="1:4" ht="12">
      <c r="A5" t="s">
        <v>55</v>
      </c>
      <c r="B5">
        <f>1+4+2+1</f>
        <v>8</v>
      </c>
      <c r="C5">
        <v>4</v>
      </c>
      <c r="D5">
        <f>(B5+(0.11*(C5-1)))</f>
        <v>8.33</v>
      </c>
    </row>
    <row r="6" spans="1:4" ht="12">
      <c r="A6" t="s">
        <v>88</v>
      </c>
      <c r="B6">
        <f>4</f>
        <v>4</v>
      </c>
      <c r="C6">
        <v>1</v>
      </c>
      <c r="D6">
        <f>(B6+(0.11*(C6-1)))</f>
        <v>4</v>
      </c>
    </row>
    <row r="7" spans="1:4" ht="12">
      <c r="A7" t="s">
        <v>56</v>
      </c>
      <c r="B7">
        <f>1+2+2</f>
        <v>5</v>
      </c>
      <c r="C7">
        <v>3</v>
      </c>
      <c r="D7">
        <f>(B7/2.5+(0.11*(C7-1)))</f>
        <v>2.22</v>
      </c>
    </row>
    <row r="8" spans="1:4" ht="12">
      <c r="A8" t="s">
        <v>79</v>
      </c>
      <c r="B8">
        <f>2+1</f>
        <v>3</v>
      </c>
      <c r="C8">
        <v>2</v>
      </c>
      <c r="D8">
        <f>B8/3.3+(0.11*(C8-1))</f>
        <v>1.0190909090909093</v>
      </c>
    </row>
    <row r="9" spans="1:4" ht="12">
      <c r="A9" t="s">
        <v>131</v>
      </c>
      <c r="B9">
        <f>1</f>
        <v>1</v>
      </c>
      <c r="C9">
        <v>1</v>
      </c>
      <c r="D9">
        <f>(B9+(0.11*(C9-1)))</f>
        <v>1</v>
      </c>
    </row>
    <row r="10" spans="1:4" ht="12">
      <c r="A10" t="s">
        <v>132</v>
      </c>
      <c r="B10">
        <f>1</f>
        <v>1</v>
      </c>
      <c r="C10">
        <v>1</v>
      </c>
      <c r="D10">
        <f>(B10+(0.11*(C10-1)))</f>
        <v>1</v>
      </c>
    </row>
    <row r="11" spans="1:4" ht="12">
      <c r="A11" t="s">
        <v>108</v>
      </c>
      <c r="B11">
        <f>1+1</f>
        <v>2</v>
      </c>
      <c r="C11">
        <v>2</v>
      </c>
      <c r="D11">
        <f aca="true" t="shared" si="0" ref="D11:D16">B11/3.3+(0.11*(C11-1))</f>
        <v>0.7160606060606061</v>
      </c>
    </row>
    <row r="12" spans="1:4" ht="12">
      <c r="A12" t="s">
        <v>116</v>
      </c>
      <c r="B12">
        <f>1</f>
        <v>1</v>
      </c>
      <c r="C12">
        <v>1</v>
      </c>
      <c r="D12">
        <f t="shared" si="0"/>
        <v>0.30303030303030304</v>
      </c>
    </row>
    <row r="13" spans="1:4" ht="12">
      <c r="A13" t="s">
        <v>58</v>
      </c>
      <c r="B13">
        <f>1</f>
        <v>1</v>
      </c>
      <c r="C13">
        <v>1</v>
      </c>
      <c r="D13">
        <f t="shared" si="0"/>
        <v>0.30303030303030304</v>
      </c>
    </row>
    <row r="14" spans="1:4" ht="12">
      <c r="A14" t="s">
        <v>59</v>
      </c>
      <c r="B14">
        <f>1</f>
        <v>1</v>
      </c>
      <c r="C14">
        <v>1</v>
      </c>
      <c r="D14">
        <f t="shared" si="0"/>
        <v>0.30303030303030304</v>
      </c>
    </row>
    <row r="15" spans="1:4" ht="12">
      <c r="A15" t="s">
        <v>54</v>
      </c>
      <c r="B15">
        <f>1</f>
        <v>1</v>
      </c>
      <c r="C15">
        <v>1</v>
      </c>
      <c r="D15">
        <f t="shared" si="0"/>
        <v>0.30303030303030304</v>
      </c>
    </row>
    <row r="16" spans="1:4" ht="12">
      <c r="A16" t="s">
        <v>125</v>
      </c>
      <c r="B16">
        <f>1</f>
        <v>1</v>
      </c>
      <c r="C16">
        <v>1</v>
      </c>
      <c r="D16">
        <f t="shared" si="0"/>
        <v>0.30303030303030304</v>
      </c>
    </row>
    <row r="17" ht="12">
      <c r="D17">
        <f>(B17+(0.11*(C17-1)))</f>
        <v>-0.11</v>
      </c>
    </row>
    <row r="18" ht="12">
      <c r="D18">
        <f>(B18+(0.11*(C18-1)))</f>
        <v>-0.11</v>
      </c>
    </row>
    <row r="21" ht="12.7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38.421875" style="2" customWidth="1"/>
    <col min="2" max="2" width="9.421875" style="4" bestFit="1" customWidth="1"/>
    <col min="3" max="3" width="9.421875" style="3" bestFit="1" customWidth="1"/>
    <col min="4" max="4" width="9.421875" style="4" bestFit="1" customWidth="1"/>
    <col min="5" max="16384" width="11.421875" style="0" customWidth="1"/>
  </cols>
  <sheetData>
    <row r="1" spans="1:4" ht="12">
      <c r="A1" s="2" t="s">
        <v>14</v>
      </c>
      <c r="B1" s="4">
        <f>3+1.5+2+1+1+1.5+1.5+1+1+2+1</f>
        <v>16.5</v>
      </c>
      <c r="C1" s="3" t="s">
        <v>139</v>
      </c>
      <c r="D1" s="4">
        <f>(B1+(0.11*(C1-1)))</f>
        <v>17.6</v>
      </c>
    </row>
    <row r="2" spans="1:4" ht="12">
      <c r="A2" s="2" t="s">
        <v>68</v>
      </c>
      <c r="B2" s="4">
        <f>1+4+3+1+1+3+1</f>
        <v>14</v>
      </c>
      <c r="C2" s="3" t="s">
        <v>135</v>
      </c>
      <c r="D2" s="4">
        <f>(B2+(0.11*(C2-1)))</f>
        <v>14.66</v>
      </c>
    </row>
    <row r="3" spans="1:4" ht="12">
      <c r="A3" s="2" t="s">
        <v>89</v>
      </c>
      <c r="B3" s="4">
        <f>4+2+1+1+1</f>
        <v>9</v>
      </c>
      <c r="C3" s="3" t="s">
        <v>109</v>
      </c>
      <c r="D3" s="4">
        <f>(B3+(0.11*(C3-1)))</f>
        <v>9.44</v>
      </c>
    </row>
    <row r="4" spans="1:4" ht="12">
      <c r="A4" s="2" t="s">
        <v>90</v>
      </c>
      <c r="B4" s="4">
        <f>4+2+1+1</f>
        <v>8</v>
      </c>
      <c r="C4" s="3" t="s">
        <v>117</v>
      </c>
      <c r="D4" s="4">
        <f>(B4+(0.11*(C4-1)))</f>
        <v>8.33</v>
      </c>
    </row>
    <row r="5" spans="1:4" ht="12">
      <c r="A5" s="2" t="s">
        <v>91</v>
      </c>
      <c r="B5" s="4">
        <f>4+1+1+1</f>
        <v>7</v>
      </c>
      <c r="C5" s="3" t="s">
        <v>117</v>
      </c>
      <c r="D5" s="4">
        <f>(B5+(0.11*(C5-1)))</f>
        <v>7.33</v>
      </c>
    </row>
    <row r="6" spans="1:4" ht="12">
      <c r="A6" s="2" t="s">
        <v>65</v>
      </c>
      <c r="B6" s="4">
        <f>1+2+4+2+2+1.5+1</f>
        <v>13.5</v>
      </c>
      <c r="C6">
        <v>7</v>
      </c>
      <c r="D6" s="4">
        <f>(B6/2.5+(0.11*(C6-1)))</f>
        <v>6.0600000000000005</v>
      </c>
    </row>
    <row r="7" spans="1:4" ht="12">
      <c r="A7" s="2" t="s">
        <v>63</v>
      </c>
      <c r="B7" s="4">
        <f>1+2+1</f>
        <v>4</v>
      </c>
      <c r="C7" s="3" t="s">
        <v>140</v>
      </c>
      <c r="D7" s="4">
        <f>(B7+(0.11*(C7-1)))</f>
        <v>4.22</v>
      </c>
    </row>
    <row r="8" spans="1:4" ht="12">
      <c r="A8" s="2" t="s">
        <v>66</v>
      </c>
      <c r="B8" s="4">
        <f>1+1+2+1+1</f>
        <v>6</v>
      </c>
      <c r="C8" s="3" t="s">
        <v>109</v>
      </c>
      <c r="D8" s="3">
        <f>B8/3.3+(0.11*(C8-1))</f>
        <v>2.2581818181818183</v>
      </c>
    </row>
    <row r="9" spans="1:4" ht="12">
      <c r="A9" s="2" t="s">
        <v>64</v>
      </c>
      <c r="B9" s="4">
        <f>1+1</f>
        <v>2</v>
      </c>
      <c r="C9" s="3" t="s">
        <v>106</v>
      </c>
      <c r="D9" s="4">
        <f>(B9+(0.11*(C9-1)))</f>
        <v>2.11</v>
      </c>
    </row>
    <row r="10" spans="1:4" ht="12">
      <c r="A10" s="2" t="s">
        <v>60</v>
      </c>
      <c r="B10" s="4">
        <f>1.5+1.5+1+1.5</f>
        <v>5.5</v>
      </c>
      <c r="C10" s="3" t="s">
        <v>117</v>
      </c>
      <c r="D10" s="3">
        <f>B10/3.3+(0.11*(C10-1))</f>
        <v>1.9966666666666668</v>
      </c>
    </row>
    <row r="11" spans="1:4" ht="12">
      <c r="A11" s="2" t="s">
        <v>133</v>
      </c>
      <c r="B11" s="4">
        <f>1</f>
        <v>1</v>
      </c>
      <c r="C11" s="3" t="s">
        <v>15</v>
      </c>
      <c r="D11" s="4">
        <f>(B11+(0.11*(C11-1)))</f>
        <v>1</v>
      </c>
    </row>
    <row r="12" spans="1:4" ht="12">
      <c r="A12" s="2" t="s">
        <v>69</v>
      </c>
      <c r="B12" s="4">
        <f>1+0</f>
        <v>1</v>
      </c>
      <c r="C12" s="3" t="s">
        <v>106</v>
      </c>
      <c r="D12" s="3">
        <f aca="true" t="shared" si="0" ref="D12:D17">B12/3.3+(0.11*(C12-1))</f>
        <v>0.413030303030303</v>
      </c>
    </row>
    <row r="13" spans="1:4" ht="12">
      <c r="A13" s="2" t="s">
        <v>61</v>
      </c>
      <c r="B13" s="4">
        <f>1</f>
        <v>1</v>
      </c>
      <c r="C13" s="3" t="s">
        <v>15</v>
      </c>
      <c r="D13" s="3">
        <f t="shared" si="0"/>
        <v>0.30303030303030304</v>
      </c>
    </row>
    <row r="14" spans="1:4" ht="12">
      <c r="A14" s="2" t="s">
        <v>62</v>
      </c>
      <c r="B14" s="4">
        <f>1</f>
        <v>1</v>
      </c>
      <c r="C14" s="3" t="s">
        <v>15</v>
      </c>
      <c r="D14" s="3">
        <f t="shared" si="0"/>
        <v>0.30303030303030304</v>
      </c>
    </row>
    <row r="15" spans="1:4" ht="12">
      <c r="A15" s="2" t="s">
        <v>67</v>
      </c>
      <c r="B15" s="4">
        <f>1</f>
        <v>1</v>
      </c>
      <c r="C15" s="3" t="s">
        <v>15</v>
      </c>
      <c r="D15" s="3">
        <f t="shared" si="0"/>
        <v>0.30303030303030304</v>
      </c>
    </row>
    <row r="16" spans="1:4" ht="12">
      <c r="A16" s="2" t="s">
        <v>123</v>
      </c>
      <c r="B16" s="4">
        <f>1</f>
        <v>1</v>
      </c>
      <c r="C16" s="3" t="s">
        <v>15</v>
      </c>
      <c r="D16" s="3">
        <f t="shared" si="0"/>
        <v>0.30303030303030304</v>
      </c>
    </row>
    <row r="17" spans="1:4" ht="12">
      <c r="A17" s="2" t="s">
        <v>134</v>
      </c>
      <c r="B17" s="4">
        <f>1</f>
        <v>1</v>
      </c>
      <c r="C17">
        <v>1</v>
      </c>
      <c r="D17" s="3">
        <f t="shared" si="0"/>
        <v>0.30303030303030304</v>
      </c>
    </row>
    <row r="18" ht="13.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A5"/>
    </sheetView>
  </sheetViews>
  <sheetFormatPr defaultColWidth="11.57421875" defaultRowHeight="12.75"/>
  <cols>
    <col min="1" max="1" width="31.8515625" style="0" customWidth="1"/>
    <col min="2" max="16384" width="11.421875" style="0" customWidth="1"/>
  </cols>
  <sheetData>
    <row r="1" spans="1:5" ht="12">
      <c r="A1" s="7" t="s">
        <v>0</v>
      </c>
      <c r="B1">
        <f>2+1+2+1.5+1.5+4+2+1</f>
        <v>15</v>
      </c>
      <c r="C1">
        <v>8</v>
      </c>
      <c r="D1">
        <v>13</v>
      </c>
      <c r="E1">
        <f aca="true" t="shared" si="0" ref="E1:E14">B1+(0.11*(C1-1))+D1*0.35</f>
        <v>20.32</v>
      </c>
    </row>
    <row r="2" spans="1:5" ht="12">
      <c r="A2" s="7" t="s">
        <v>27</v>
      </c>
      <c r="B2">
        <f>1.5+3+1+1.5+1.5+4+3+1</f>
        <v>16.5</v>
      </c>
      <c r="C2">
        <v>8</v>
      </c>
      <c r="D2">
        <v>7</v>
      </c>
      <c r="E2">
        <f t="shared" si="0"/>
        <v>19.72</v>
      </c>
    </row>
    <row r="3" spans="1:5" ht="12">
      <c r="A3" s="7" t="s">
        <v>7</v>
      </c>
      <c r="B3">
        <f>0.8+0.8+3+1+0.8+0.8+0.8+1+0.8+1.5+0.8+0.8+0.8</f>
        <v>13.700000000000003</v>
      </c>
      <c r="C3">
        <v>13</v>
      </c>
      <c r="D3">
        <v>9</v>
      </c>
      <c r="E3">
        <f t="shared" si="0"/>
        <v>18.17</v>
      </c>
    </row>
    <row r="4" spans="1:5" ht="12">
      <c r="A4" t="s">
        <v>16</v>
      </c>
      <c r="B4">
        <f>3+4</f>
        <v>7</v>
      </c>
      <c r="C4">
        <v>2</v>
      </c>
      <c r="D4">
        <v>2</v>
      </c>
      <c r="E4">
        <f t="shared" si="0"/>
        <v>7.8100000000000005</v>
      </c>
    </row>
    <row r="5" spans="1:5" ht="12">
      <c r="A5" s="7" t="s">
        <v>92</v>
      </c>
      <c r="B5">
        <f>4+1</f>
        <v>5</v>
      </c>
      <c r="C5">
        <v>2</v>
      </c>
      <c r="D5">
        <v>3</v>
      </c>
      <c r="E5">
        <f t="shared" si="0"/>
        <v>6.16</v>
      </c>
    </row>
    <row r="6" spans="1:5" ht="12">
      <c r="A6" s="7" t="s">
        <v>72</v>
      </c>
      <c r="B6">
        <f>1.5+1+1</f>
        <v>3.5</v>
      </c>
      <c r="C6">
        <v>3</v>
      </c>
      <c r="D6">
        <v>6</v>
      </c>
      <c r="E6">
        <f t="shared" si="0"/>
        <v>5.82</v>
      </c>
    </row>
    <row r="7" spans="1:5" ht="12">
      <c r="A7" s="7" t="s">
        <v>114</v>
      </c>
      <c r="B7">
        <f>1+4</f>
        <v>5</v>
      </c>
      <c r="C7">
        <v>2</v>
      </c>
      <c r="D7">
        <v>1</v>
      </c>
      <c r="E7">
        <f t="shared" si="0"/>
        <v>5.46</v>
      </c>
    </row>
    <row r="8" spans="1:5" ht="12">
      <c r="A8" s="7" t="s">
        <v>120</v>
      </c>
      <c r="B8">
        <f>4</f>
        <v>4</v>
      </c>
      <c r="C8">
        <v>1</v>
      </c>
      <c r="E8">
        <f t="shared" si="0"/>
        <v>4</v>
      </c>
    </row>
    <row r="9" spans="1:5" ht="12">
      <c r="A9" s="7" t="s">
        <v>110</v>
      </c>
      <c r="B9">
        <f>1+1</f>
        <v>2</v>
      </c>
      <c r="C9">
        <v>2</v>
      </c>
      <c r="E9">
        <f t="shared" si="0"/>
        <v>2.11</v>
      </c>
    </row>
    <row r="10" spans="1:5" ht="12">
      <c r="A10" s="7" t="s">
        <v>70</v>
      </c>
      <c r="B10">
        <f>1+1</f>
        <v>2</v>
      </c>
      <c r="C10">
        <v>2</v>
      </c>
      <c r="E10">
        <f t="shared" si="0"/>
        <v>2.11</v>
      </c>
    </row>
    <row r="11" spans="1:5" ht="12">
      <c r="A11" s="7" t="s">
        <v>28</v>
      </c>
      <c r="B11">
        <f>1</f>
        <v>1</v>
      </c>
      <c r="C11">
        <v>1</v>
      </c>
      <c r="D11">
        <v>1</v>
      </c>
      <c r="E11">
        <f t="shared" si="0"/>
        <v>1.35</v>
      </c>
    </row>
    <row r="12" spans="1:5" ht="12">
      <c r="A12" s="7" t="s">
        <v>71</v>
      </c>
      <c r="B12">
        <f>1</f>
        <v>1</v>
      </c>
      <c r="C12">
        <v>1</v>
      </c>
      <c r="E12">
        <f t="shared" si="0"/>
        <v>1</v>
      </c>
    </row>
    <row r="13" spans="1:5" ht="12">
      <c r="A13" s="7" t="s">
        <v>73</v>
      </c>
      <c r="B13">
        <f>1</f>
        <v>1</v>
      </c>
      <c r="C13">
        <v>1</v>
      </c>
      <c r="E13">
        <f t="shared" si="0"/>
        <v>1</v>
      </c>
    </row>
    <row r="14" spans="1:5" ht="12">
      <c r="A14" s="7" t="s">
        <v>94</v>
      </c>
      <c r="B14">
        <f>1</f>
        <v>1</v>
      </c>
      <c r="C14">
        <v>1</v>
      </c>
      <c r="E14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A5"/>
    </sheetView>
  </sheetViews>
  <sheetFormatPr defaultColWidth="11.57421875" defaultRowHeight="12.75"/>
  <cols>
    <col min="1" max="1" width="27.28125" style="0" customWidth="1"/>
    <col min="2" max="16384" width="11.421875" style="0" customWidth="1"/>
  </cols>
  <sheetData>
    <row r="1" spans="1:5" ht="12">
      <c r="A1" t="s">
        <v>17</v>
      </c>
      <c r="B1">
        <f>3+1.5+2+2+2+1+1.5+1.5+1.5+1+4+2+1</f>
        <v>24</v>
      </c>
      <c r="C1">
        <v>13</v>
      </c>
      <c r="D1">
        <v>14</v>
      </c>
      <c r="E1">
        <f aca="true" t="shared" si="0" ref="E1:E13">B1+(0.11*(C1-1))+D1*0.35</f>
        <v>30.22</v>
      </c>
    </row>
    <row r="2" spans="1:5" ht="12">
      <c r="A2" s="7" t="s">
        <v>4</v>
      </c>
      <c r="B2">
        <f>3+1+1.5+2+1.5+1+4+1+3+1</f>
        <v>19</v>
      </c>
      <c r="C2">
        <v>10</v>
      </c>
      <c r="D2">
        <v>5</v>
      </c>
      <c r="E2">
        <f t="shared" si="0"/>
        <v>21.74</v>
      </c>
    </row>
    <row r="3" spans="1:5" ht="12">
      <c r="A3" t="s">
        <v>9</v>
      </c>
      <c r="B3">
        <f>2+1+4</f>
        <v>7</v>
      </c>
      <c r="C3">
        <v>3</v>
      </c>
      <c r="D3">
        <v>9</v>
      </c>
      <c r="E3">
        <f t="shared" si="0"/>
        <v>10.37</v>
      </c>
    </row>
    <row r="4" spans="1:5" ht="12">
      <c r="A4" t="s">
        <v>26</v>
      </c>
      <c r="B4">
        <f>1+4+1</f>
        <v>6</v>
      </c>
      <c r="C4">
        <v>3</v>
      </c>
      <c r="D4">
        <v>6</v>
      </c>
      <c r="E4">
        <f t="shared" si="0"/>
        <v>8.32</v>
      </c>
    </row>
    <row r="5" spans="1:5" ht="12">
      <c r="A5" t="s">
        <v>22</v>
      </c>
      <c r="B5">
        <f>2+2+1</f>
        <v>5</v>
      </c>
      <c r="C5">
        <v>3</v>
      </c>
      <c r="D5">
        <v>3</v>
      </c>
      <c r="E5">
        <f t="shared" si="0"/>
        <v>6.27</v>
      </c>
    </row>
    <row r="6" spans="1:5" ht="12">
      <c r="A6" t="s">
        <v>29</v>
      </c>
      <c r="B6">
        <f>1+1.5+1+1</f>
        <v>4.5</v>
      </c>
      <c r="C6">
        <v>4</v>
      </c>
      <c r="D6">
        <v>1</v>
      </c>
      <c r="E6">
        <f t="shared" si="0"/>
        <v>5.18</v>
      </c>
    </row>
    <row r="7" spans="1:5" ht="12">
      <c r="A7" t="s">
        <v>121</v>
      </c>
      <c r="B7">
        <f>4</f>
        <v>4</v>
      </c>
      <c r="C7">
        <v>1</v>
      </c>
      <c r="D7">
        <v>3</v>
      </c>
      <c r="E7">
        <f t="shared" si="0"/>
        <v>5.05</v>
      </c>
    </row>
    <row r="8" spans="1:5" ht="12">
      <c r="A8" t="s">
        <v>24</v>
      </c>
      <c r="B8">
        <f>1+2</f>
        <v>3</v>
      </c>
      <c r="C8">
        <v>2</v>
      </c>
      <c r="D8">
        <v>5</v>
      </c>
      <c r="E8">
        <f t="shared" si="0"/>
        <v>4.859999999999999</v>
      </c>
    </row>
    <row r="9" spans="1:5" ht="12">
      <c r="A9" t="s">
        <v>20</v>
      </c>
      <c r="B9">
        <f>1+1</f>
        <v>2</v>
      </c>
      <c r="C9">
        <v>2</v>
      </c>
      <c r="D9">
        <v>7</v>
      </c>
      <c r="E9">
        <f t="shared" si="0"/>
        <v>4.56</v>
      </c>
    </row>
    <row r="10" spans="1:5" ht="12">
      <c r="A10" t="s">
        <v>112</v>
      </c>
      <c r="B10">
        <f>0.8+1</f>
        <v>1.8</v>
      </c>
      <c r="C10">
        <v>2</v>
      </c>
      <c r="D10">
        <v>1</v>
      </c>
      <c r="E10">
        <f t="shared" si="0"/>
        <v>2.2600000000000002</v>
      </c>
    </row>
    <row r="11" spans="1:5" ht="12">
      <c r="A11" t="s">
        <v>74</v>
      </c>
      <c r="B11">
        <f>1</f>
        <v>1</v>
      </c>
      <c r="C11">
        <v>1</v>
      </c>
      <c r="D11">
        <v>2</v>
      </c>
      <c r="E11">
        <f t="shared" si="0"/>
        <v>1.7</v>
      </c>
    </row>
    <row r="12" spans="1:5" ht="12">
      <c r="A12" t="s">
        <v>75</v>
      </c>
      <c r="B12">
        <f>1</f>
        <v>1</v>
      </c>
      <c r="C12">
        <v>1</v>
      </c>
      <c r="E12">
        <f t="shared" si="0"/>
        <v>1</v>
      </c>
    </row>
    <row r="13" spans="1:5" ht="12">
      <c r="A13" t="s">
        <v>95</v>
      </c>
      <c r="B13">
        <f>1</f>
        <v>1</v>
      </c>
      <c r="C13">
        <v>1</v>
      </c>
      <c r="E13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Geert Verbanck</cp:lastModifiedBy>
  <cp:lastPrinted>2007-01-30T07:39:05Z</cp:lastPrinted>
  <dcterms:created xsi:type="dcterms:W3CDTF">2000-02-17T17:19:19Z</dcterms:created>
  <dcterms:modified xsi:type="dcterms:W3CDTF">2019-03-19T12:40:30Z</dcterms:modified>
  <cp:category/>
  <cp:version/>
  <cp:contentType/>
  <cp:contentStatus/>
</cp:coreProperties>
</file>