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7760" windowHeight="9300" tabRatio="599" activeTab="0"/>
  </bookViews>
  <sheets>
    <sheet name="Picture" sheetId="1" r:id="rId1"/>
    <sheet name="Director" sheetId="2" r:id="rId2"/>
    <sheet name="Actor" sheetId="3" r:id="rId3"/>
    <sheet name="Actress" sheetId="4" r:id="rId4"/>
    <sheet name="Supp.Actor" sheetId="5" r:id="rId5"/>
    <sheet name="Supp.Actress" sheetId="6" r:id="rId6"/>
    <sheet name="Original" sheetId="7" r:id="rId7"/>
    <sheet name="Adaptation" sheetId="8" r:id="rId8"/>
    <sheet name="0" sheetId="9" r:id="rId9"/>
    <sheet name="00" sheetId="10" r:id="rId10"/>
    <sheet name="000" sheetId="11" r:id="rId11"/>
    <sheet name="0000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7">'Adaptation'!$A:$E</definedName>
  </definedNames>
  <calcPr fullCalcOnLoad="1"/>
</workbook>
</file>

<file path=xl/sharedStrings.xml><?xml version="1.0" encoding="utf-8"?>
<sst xmlns="http://schemas.openxmlformats.org/spreadsheetml/2006/main" count="175" uniqueCount="145">
  <si>
    <t>Nicole Kidman, Rabbit Hole</t>
  </si>
  <si>
    <t>Jennifer Lawrence, Winter's Bone</t>
  </si>
  <si>
    <t>Helen Mirren, The Tempest</t>
  </si>
  <si>
    <t>Natalie Portman, Black Swan</t>
  </si>
  <si>
    <t>Noomi Rapace, The Girl With the Dragon Tattoo</t>
  </si>
  <si>
    <t>Tilda Swinton, I Am Love</t>
  </si>
  <si>
    <t>Naomi Watts, Fair Game</t>
  </si>
  <si>
    <t>Michelle Williams, Blue Valentine</t>
  </si>
  <si>
    <t>Javier Bardem, Biutiful</t>
  </si>
  <si>
    <t>Leonardo DiCaprio, Inception</t>
  </si>
  <si>
    <t>Michael Douglas, Solitary Man</t>
  </si>
  <si>
    <t>Robert Duvall, Get Low</t>
  </si>
  <si>
    <t>Jesse Eisenberg, The Social Network</t>
  </si>
  <si>
    <t>Colin Firth, The King's Speech</t>
  </si>
  <si>
    <t>James Franco, 127 Hours</t>
  </si>
  <si>
    <t>Ryan Gosling, Blue Valentine</t>
  </si>
  <si>
    <t>Annette Bening, The Kids Are All Right</t>
  </si>
  <si>
    <t>Anne Hathaway, Love and Other Drugs</t>
  </si>
  <si>
    <t>Sally Hawkins, Made in Dagenham</t>
  </si>
  <si>
    <t>Catherine Keener, Please Give</t>
  </si>
  <si>
    <t>Julianne Moore, The Kids Are All Right</t>
  </si>
  <si>
    <t>Mary-Louise Parker, Red</t>
  </si>
  <si>
    <t>Marisa Tomei, Cyrus</t>
  </si>
  <si>
    <t>Steve Carell, Dinner for Schmucks</t>
  </si>
  <si>
    <t>Michael Cera, Scott Pilgrim Versus the World</t>
  </si>
  <si>
    <t>Romain Duris, Heartbreaker</t>
  </si>
  <si>
    <t xml:space="preserve">Andy Garcia, City Island </t>
  </si>
  <si>
    <t>Jake Gyllenhaal, Love and Other Drugs</t>
  </si>
  <si>
    <t>John Malkovich, Red</t>
  </si>
  <si>
    <t>John C. Reilly, Cyrus</t>
  </si>
  <si>
    <t>Amy Adams, The Fighter</t>
  </si>
  <si>
    <t>1</t>
  </si>
  <si>
    <t>Marion Cotillard, Inception</t>
  </si>
  <si>
    <t>Ann-Marie Duff, Nowhere Boy</t>
  </si>
  <si>
    <t>Vanessa Redgrave, Letters to Juliet</t>
  </si>
  <si>
    <t>Rosamund Pike, Barney's Version</t>
  </si>
  <si>
    <t>Kristin Scott Thomas, Nowhere Boy</t>
  </si>
  <si>
    <t>Jacki Weaver, Animal Kingdom</t>
  </si>
  <si>
    <t>Diane Wiest, Rabbit Hole</t>
  </si>
  <si>
    <t>Christian Bale, The Fighter</t>
  </si>
  <si>
    <t>Pierce Brosnan, The Ghost Writer</t>
  </si>
  <si>
    <t>Tommy Lee Jones, The Company Men</t>
  </si>
  <si>
    <t>Sean Penn, Fair Game</t>
  </si>
  <si>
    <t>Jeremy Renner, The Town</t>
  </si>
  <si>
    <t>Geoffrey Rush, The King's Speech</t>
  </si>
  <si>
    <t>127 Hours</t>
  </si>
  <si>
    <t>Animal Kingdom</t>
  </si>
  <si>
    <t>Blue Valentine</t>
  </si>
  <si>
    <t>Get Low</t>
  </si>
  <si>
    <t>The Ghost Writer</t>
  </si>
  <si>
    <t>Inception</t>
  </si>
  <si>
    <t>The King's Speech</t>
  </si>
  <si>
    <t>The Social Network</t>
  </si>
  <si>
    <t>The Town</t>
  </si>
  <si>
    <t>Winter's Bone</t>
  </si>
  <si>
    <t>Cyrus</t>
  </si>
  <si>
    <t>The Kids Are All Right</t>
  </si>
  <si>
    <t>Made in Dagenham</t>
  </si>
  <si>
    <t>The Other Guys</t>
  </si>
  <si>
    <t>Please Give</t>
  </si>
  <si>
    <t>Red</t>
  </si>
  <si>
    <t>Scott Pilgrim vs. the World</t>
  </si>
  <si>
    <t>Ben Affleck, The Town</t>
  </si>
  <si>
    <t>Darren Aronofsky, Black Swan</t>
  </si>
  <si>
    <t>Danny Boyle, 127 Hours</t>
  </si>
  <si>
    <t>Lisa Cholodenko, The Kids Are All Right</t>
  </si>
  <si>
    <t>David Fincher, The Social Network</t>
  </si>
  <si>
    <t>Tom Hooper, The King's Speech</t>
  </si>
  <si>
    <t>David Michod, Animal Kingdom</t>
  </si>
  <si>
    <t>Christopher Nolan, Inception</t>
  </si>
  <si>
    <t>Roman Polanski, The Ghost Writer</t>
  </si>
  <si>
    <t>Debra Granik, The Winter's Bone</t>
  </si>
  <si>
    <t>Biutiful</t>
  </si>
  <si>
    <t>The Eclipse</t>
  </si>
  <si>
    <t>Toy Story 3</t>
  </si>
  <si>
    <t>Fair Game</t>
  </si>
  <si>
    <t>The Girl With the Dragon Tattoo</t>
  </si>
  <si>
    <t>Andrew Garfield, The Social Network</t>
  </si>
  <si>
    <t>Mike Leigh, Another Year</t>
  </si>
  <si>
    <t>Lesley Manville, Another Year</t>
  </si>
  <si>
    <t>Buried</t>
  </si>
  <si>
    <t>Rodrigo Cortés, Buried</t>
  </si>
  <si>
    <t>Another Year</t>
  </si>
  <si>
    <t>The Fighter</t>
  </si>
  <si>
    <t>Hereafter</t>
  </si>
  <si>
    <t>True Grit</t>
  </si>
  <si>
    <t>Ewan McGregor, The Ghost Writer</t>
  </si>
  <si>
    <t>Olivia Williams, The Ghost Writer</t>
  </si>
  <si>
    <t>Black Swan</t>
  </si>
  <si>
    <t>Mark Ruffalo, The Kids Are All Right</t>
  </si>
  <si>
    <t>Melissa Leo, The Fighter</t>
  </si>
  <si>
    <t>Hailee Steinfeld, True Grit</t>
  </si>
  <si>
    <t>Mark Wahlberg, The Fighter</t>
  </si>
  <si>
    <t>Halle Berry, Frankie &amp; Alice</t>
  </si>
  <si>
    <t>Johnny Depp, Alice in Wonderland</t>
  </si>
  <si>
    <t>Johnny Depp, The Tourist</t>
  </si>
  <si>
    <t>Paul Giamatti, Barney's Version</t>
  </si>
  <si>
    <t>Kevin Spacey, Casino Jack</t>
  </si>
  <si>
    <t>Angelina Jolie, The Tourist</t>
  </si>
  <si>
    <t>Emma Stone, Easy A</t>
  </si>
  <si>
    <t>Michael Douglas, Wall Street 2</t>
  </si>
  <si>
    <t>Helena Bonham Carter, The King's Speech</t>
  </si>
  <si>
    <t>Mila Kunis, Black Swan</t>
  </si>
  <si>
    <t>4</t>
  </si>
  <si>
    <t>David O. Russell, The Fighter</t>
  </si>
  <si>
    <t>Alice in Wonderland</t>
  </si>
  <si>
    <t>Burlesque</t>
  </si>
  <si>
    <t>The Tourist</t>
  </si>
  <si>
    <t>Jeff Bridges, True Grit</t>
  </si>
  <si>
    <t>Hilary Swank, Conviction</t>
  </si>
  <si>
    <t>John Hawkes, Winter's Bone</t>
  </si>
  <si>
    <t>Rabbit Hole</t>
  </si>
  <si>
    <t>Conviction</t>
  </si>
  <si>
    <t>Colin Farrell, Ondine</t>
  </si>
  <si>
    <t>Four Lions</t>
  </si>
  <si>
    <t>I Am Love</t>
  </si>
  <si>
    <t>Christopher Morris, Four Lions</t>
  </si>
  <si>
    <t>Luca Guadagnino, I Am Love</t>
  </si>
  <si>
    <t>Alejandro González Iñárritu, Biutiful</t>
  </si>
  <si>
    <t>Niels Arden Oplev, The Girl With a Dragon Tattoo</t>
  </si>
  <si>
    <t>Joel &amp; Ethan Coen, True Grit</t>
  </si>
  <si>
    <t>6</t>
  </si>
  <si>
    <t>Greenberg</t>
  </si>
  <si>
    <t>Lee Unkrich, Toy Story 3</t>
  </si>
  <si>
    <t>I Love You, Philip Morris</t>
  </si>
  <si>
    <t>I Love You Phillip Morris</t>
  </si>
  <si>
    <t>Robin Hood</t>
  </si>
  <si>
    <t>Shutter Island</t>
  </si>
  <si>
    <t>The Chronicals of Narnia: The Voyage of the Dawn Treader</t>
  </si>
  <si>
    <t>Harry Potter and the Deathly Hollows I</t>
  </si>
  <si>
    <t>TRON Legacy</t>
  </si>
  <si>
    <t>Twilight: Eclipse</t>
  </si>
  <si>
    <t>Aaron Eckhart, Rabbit Hole</t>
  </si>
  <si>
    <t>Armie Hammer, The Social Network</t>
  </si>
  <si>
    <t>Ann Guilbert, Please Give</t>
  </si>
  <si>
    <t>Easy A</t>
  </si>
  <si>
    <t>9</t>
  </si>
  <si>
    <t>5</t>
  </si>
  <si>
    <t>Barney's Version</t>
  </si>
  <si>
    <t>Pete Postlethwaite, The Town</t>
  </si>
  <si>
    <t>8</t>
  </si>
  <si>
    <t>Barbara Hershey, Black Swan</t>
  </si>
  <si>
    <t>Miranda Richardson, Made in Dagenham</t>
  </si>
  <si>
    <t>Wall Street: Money Never Sleeps</t>
  </si>
  <si>
    <t>The Tempest</t>
  </si>
</sst>
</file>

<file path=xl/styles.xml><?xml version="1.0" encoding="utf-8"?>
<styleSheet xmlns="http://schemas.openxmlformats.org/spreadsheetml/2006/main">
  <numFmts count="7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#,##0\ &quot;FB&quot;;\-#,##0\ &quot;FB&quot;"/>
    <numFmt numFmtId="209" formatCode="#,##0\ &quot;FB&quot;;[Red]\-#,##0\ &quot;FB&quot;"/>
    <numFmt numFmtId="210" formatCode="#,##0.00\ &quot;FB&quot;;\-#,##0.00\ &quot;FB&quot;"/>
    <numFmt numFmtId="211" formatCode="#,##0.00\ &quot;FB&quot;;[Red]\-#,##0.00\ &quot;FB&quot;"/>
    <numFmt numFmtId="212" formatCode="_-* #,##0\ &quot;FB&quot;_-;\-* #,##0\ &quot;FB&quot;_-;_-* &quot;-&quot;\ &quot;FB&quot;_-;_-@_-"/>
    <numFmt numFmtId="213" formatCode="_-* #,##0\ _F_B_-;\-* #,##0\ _F_B_-;_-* &quot;-&quot;\ _F_B_-;_-@_-"/>
    <numFmt numFmtId="214" formatCode="_-* #,##0.00\ &quot;FB&quot;_-;\-* #,##0.00\ &quot;FB&quot;_-;_-* &quot;-&quot;??\ &quot;FB&quot;_-;_-@_-"/>
    <numFmt numFmtId="215" formatCode="_-* #,##0.00\ _F_B_-;\-* #,##0.00\ _F_B_-;_-* &quot;-&quot;??\ _F_B_-;_-@_-"/>
    <numFmt numFmtId="216" formatCode="0.000"/>
    <numFmt numFmtId="217" formatCode="0.0000"/>
    <numFmt numFmtId="218" formatCode="0.0"/>
    <numFmt numFmtId="219" formatCode="0.00000"/>
    <numFmt numFmtId="220" formatCode="0.000000"/>
    <numFmt numFmtId="221" formatCode="00000"/>
    <numFmt numFmtId="222" formatCode="&quot;Ja&quot;;&quot;Ja&quot;;&quot;Nee&quot;"/>
    <numFmt numFmtId="223" formatCode="&quot;Waar&quot;;&quot;Waar&quot;;&quot;Niet waar&quot;"/>
    <numFmt numFmtId="224" formatCode="&quot;Aan&quot;;&quot;Aan&quot;;&quot;Uit&quot;"/>
    <numFmt numFmtId="22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25"/>
          <c:w val="0.97425"/>
          <c:h val="0.88475"/>
        </c:manualLayout>
      </c:layout>
      <c:barChart>
        <c:barDir val="col"/>
        <c:grouping val="clustered"/>
        <c:varyColors val="0"/>
        <c:axId val="52369343"/>
        <c:axId val="64865656"/>
      </c:barChart>
      <c:catAx>
        <c:axId val="52369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65656"/>
        <c:crosses val="autoZero"/>
        <c:auto val="0"/>
        <c:lblOffset val="100"/>
        <c:tickLblSkip val="1"/>
        <c:noMultiLvlLbl val="0"/>
      </c:catAx>
      <c:valAx>
        <c:axId val="648656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6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35"/>
          <c:w val="0.97275"/>
          <c:h val="0.8995"/>
        </c:manualLayout>
      </c:layout>
      <c:barChart>
        <c:barDir val="col"/>
        <c:grouping val="clustered"/>
        <c:varyColors val="0"/>
        <c:axId val="37572409"/>
        <c:axId val="58431298"/>
      </c:barChart>
      <c:catAx>
        <c:axId val="37572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31298"/>
        <c:crosses val="autoZero"/>
        <c:auto val="0"/>
        <c:lblOffset val="100"/>
        <c:tickLblSkip val="1"/>
        <c:noMultiLvlLbl val="0"/>
      </c:catAx>
      <c:valAx>
        <c:axId val="58431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2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375"/>
          <c:w val="0.97325"/>
          <c:h val="0.89875"/>
        </c:manualLayout>
      </c:layout>
      <c:barChart>
        <c:barDir val="col"/>
        <c:grouping val="clustered"/>
        <c:varyColors val="0"/>
        <c:axId val="37626323"/>
        <c:axId val="62367020"/>
      </c:barChart>
      <c:catAx>
        <c:axId val="37626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67020"/>
        <c:crosses val="autoZero"/>
        <c:auto val="0"/>
        <c:lblOffset val="100"/>
        <c:tickLblSkip val="1"/>
        <c:noMultiLvlLbl val="0"/>
      </c:catAx>
      <c:valAx>
        <c:axId val="623670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26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85725</xdr:rowOff>
    </xdr:from>
    <xdr:to>
      <xdr:col>10</xdr:col>
      <xdr:colOff>619125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23875" y="247650"/>
        <a:ext cx="7715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57150</xdr:rowOff>
    </xdr:from>
    <xdr:to>
      <xdr:col>11</xdr:col>
      <xdr:colOff>114300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00075" y="219075"/>
        <a:ext cx="7896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11</xdr:col>
      <xdr:colOff>219075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47700" y="161925"/>
        <a:ext cx="7953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50" zoomScaleNormal="150" workbookViewId="0" topLeftCell="A1">
      <selection activeCell="A1" sqref="A1:A10"/>
    </sheetView>
  </sheetViews>
  <sheetFormatPr defaultColWidth="11.57421875" defaultRowHeight="12.75"/>
  <cols>
    <col min="1" max="1" width="32.28125" style="0" customWidth="1"/>
    <col min="2" max="2" width="9.421875" style="0" customWidth="1"/>
    <col min="3" max="3" width="8.7109375" style="0" customWidth="1"/>
    <col min="4" max="4" width="8.8515625" style="0" customWidth="1"/>
    <col min="5" max="5" width="8.421875" style="0" customWidth="1"/>
    <col min="6" max="6" width="9.00390625" style="0" customWidth="1"/>
    <col min="7" max="16384" width="11.421875" style="0" customWidth="1"/>
  </cols>
  <sheetData>
    <row r="1" spans="1:7" ht="12">
      <c r="A1" t="s">
        <v>52</v>
      </c>
      <c r="B1">
        <f>1.5+3+1.5+0.8+3+1.5+0.8+3+1.5+1.5+3+1.5+3+0.8+1+1.5+0.8+0.8+1.5+0.8+0.8+1.5+0.8+4+1+1.5+2+2+3+1.5+0.8+1.5+1</f>
        <v>54.19999999999999</v>
      </c>
      <c r="C1">
        <v>33</v>
      </c>
      <c r="D1">
        <v>15</v>
      </c>
      <c r="E1">
        <v>10</v>
      </c>
      <c r="G1">
        <f>IF(C1=0,0,IF(AND(F1&gt;0,E1&gt;0),B1+3,B1/2.5)+((C1-1)*0.02)+(D1*1.08)+(E1*0.33))</f>
        <v>41.81999999999999</v>
      </c>
    </row>
    <row r="2" spans="1:7" ht="12">
      <c r="A2" t="s">
        <v>51</v>
      </c>
      <c r="B2">
        <f>1+2+1+2+3+1+0.8+4-0.8+2+2+0.8+1+1</f>
        <v>20.8</v>
      </c>
      <c r="C2">
        <v>13</v>
      </c>
      <c r="D2">
        <v>10</v>
      </c>
      <c r="E2">
        <v>10</v>
      </c>
      <c r="G2">
        <f>IF(C2=0,0,IF(AND(F2&gt;0,E2&gt;0),B2+3,B2/2.5)+((C2-1)*0.02)+(D2*1.08)+(E2*0.33))</f>
        <v>22.66</v>
      </c>
    </row>
    <row r="3" spans="1:7" ht="12">
      <c r="A3" t="s">
        <v>88</v>
      </c>
      <c r="B3">
        <f>2+2+3+1+1+4+1+2+2+1+1</f>
        <v>20</v>
      </c>
      <c r="C3">
        <v>11</v>
      </c>
      <c r="D3">
        <v>10</v>
      </c>
      <c r="E3">
        <v>11</v>
      </c>
      <c r="G3">
        <f>IF(C3=0,0,IF(AND(F3&gt;0,E3&gt;0),B3+3,B3/2.5)+((C3-1)*0.02)+(D3*1.08)+(E3*0.33))</f>
        <v>22.63</v>
      </c>
    </row>
    <row r="4" spans="1:7" ht="12">
      <c r="A4" t="s">
        <v>50</v>
      </c>
      <c r="B4">
        <f>1+2+1+2+1+0.8+0.8+1+0.8+4+1+2+2+1</f>
        <v>20.4</v>
      </c>
      <c r="C4">
        <v>14</v>
      </c>
      <c r="D4">
        <v>10</v>
      </c>
      <c r="E4">
        <v>8</v>
      </c>
      <c r="G4">
        <f>IF(C4=0,0,IF(AND(F4&gt;0,E4&gt;0),B4+3,B4/2.5)+((C4-1)*0.02)+(D4*1.08)+(E4*0.33))</f>
        <v>21.86</v>
      </c>
    </row>
    <row r="5" spans="1:7" ht="12">
      <c r="A5" t="s">
        <v>83</v>
      </c>
      <c r="B5">
        <f>2+2+3+4+1+2+2</f>
        <v>16</v>
      </c>
      <c r="C5">
        <v>7</v>
      </c>
      <c r="D5">
        <v>8</v>
      </c>
      <c r="E5">
        <v>10</v>
      </c>
      <c r="G5">
        <f>IF(C5=0,0,IF(AND(F5&gt;0,E5&gt;0),B5+3,B5/2.5)+((C5-1)*0.02)+(D5*1.08)+(E5*0.33))</f>
        <v>18.46</v>
      </c>
    </row>
    <row r="6" spans="1:7" ht="12">
      <c r="A6" t="s">
        <v>56</v>
      </c>
      <c r="B6">
        <f>1+0.8+0.75+1+3+4+1+3+1</f>
        <v>15.55</v>
      </c>
      <c r="C6">
        <v>9</v>
      </c>
      <c r="D6">
        <v>5</v>
      </c>
      <c r="E6">
        <v>6</v>
      </c>
      <c r="G6">
        <f>IF(C6=0,0,IF(AND(F6&gt;0,E6&gt;0),B6+3,B6/2.5)+((C6-1)*0.02)+(D6*1.08)+(E6*0.33))</f>
        <v>13.760000000000002</v>
      </c>
    </row>
    <row r="7" spans="1:7" ht="12">
      <c r="A7" t="s">
        <v>85</v>
      </c>
      <c r="B7">
        <f>1+4+1+1</f>
        <v>7</v>
      </c>
      <c r="C7">
        <v>4</v>
      </c>
      <c r="D7">
        <v>7</v>
      </c>
      <c r="E7">
        <v>8</v>
      </c>
      <c r="G7">
        <f>IF(C7=0,0,IF(AND(F7&gt;0,E7&gt;0),B7+3,B7/2.5)+((C7-1)*0.02)+(D7*1.08)+(E7*0.33))</f>
        <v>13.06</v>
      </c>
    </row>
    <row r="8" spans="1:7" ht="12">
      <c r="A8" t="s">
        <v>54</v>
      </c>
      <c r="B8">
        <f>1+1.5+1+1-0.8</f>
        <v>3.7</v>
      </c>
      <c r="C8">
        <v>4</v>
      </c>
      <c r="D8">
        <v>7</v>
      </c>
      <c r="E8">
        <v>2</v>
      </c>
      <c r="G8">
        <f>IF(C8=0,0,IF(AND(F8&gt;0,E8&gt;0),B8+3,B8/2.5)+((C8-1)*0.02)+(D8*1.08)+(E8*0.33))</f>
        <v>9.760000000000002</v>
      </c>
    </row>
    <row r="9" spans="1:7" ht="12">
      <c r="A9" t="s">
        <v>45</v>
      </c>
      <c r="B9">
        <f>1+1+4+1</f>
        <v>7</v>
      </c>
      <c r="C9">
        <v>4</v>
      </c>
      <c r="D9">
        <v>4</v>
      </c>
      <c r="E9">
        <v>4</v>
      </c>
      <c r="G9">
        <f>IF(C9=0,0,IF(AND(F9&gt;0,E9&gt;0),B9+3,B9/2.5)+((C9-1)*0.02)+(D9*1.08)+(E9*0.33))</f>
        <v>8.5</v>
      </c>
    </row>
    <row r="10" spans="1:7" ht="12">
      <c r="A10" t="s">
        <v>74</v>
      </c>
      <c r="B10">
        <f>1+4-0.8</f>
        <v>4.2</v>
      </c>
      <c r="C10">
        <v>2</v>
      </c>
      <c r="D10">
        <v>5</v>
      </c>
      <c r="E10">
        <v>3</v>
      </c>
      <c r="G10">
        <f>IF(C10=0,0,IF(AND(F10&gt;0,E10&gt;0),B10+3,B10/2.5)+((C10-1)*0.02)+(D10*1.08)+(E10*0.33))</f>
        <v>8.09</v>
      </c>
    </row>
    <row r="11" spans="1:7" ht="12">
      <c r="A11" t="s">
        <v>53</v>
      </c>
      <c r="B11">
        <f>1+4+1</f>
        <v>6</v>
      </c>
      <c r="C11">
        <v>3</v>
      </c>
      <c r="D11">
        <v>4</v>
      </c>
      <c r="E11">
        <v>4</v>
      </c>
      <c r="G11">
        <f>IF(C11=0,0,IF(AND(F11&gt;0,E11&gt;0),B11+3,B11/2.5)+((C11-1)*0.02)+(D11*1.08)+(E11*0.33))</f>
        <v>8.08</v>
      </c>
    </row>
    <row r="12" spans="1:7" ht="12">
      <c r="A12" t="s">
        <v>49</v>
      </c>
      <c r="B12">
        <f>1+1.5</f>
        <v>2.5</v>
      </c>
      <c r="C12">
        <v>2</v>
      </c>
      <c r="D12">
        <v>1</v>
      </c>
      <c r="G12">
        <f>IF(C12=0,0,IF(AND(F12&gt;0,E12&gt;0),B12+3,B12/2.5)+((C12-1)*0.02)+(D12*1.08)+(E12*0.33))</f>
        <v>2.1</v>
      </c>
    </row>
    <row r="13" spans="1:7" ht="12">
      <c r="A13" t="s">
        <v>105</v>
      </c>
      <c r="B13">
        <f>0.75-0.8</f>
        <v>-0.050000000000000044</v>
      </c>
      <c r="C13">
        <v>1</v>
      </c>
      <c r="D13">
        <v>1</v>
      </c>
      <c r="E13">
        <v>3</v>
      </c>
      <c r="G13">
        <f>IF(C13=0,0,IF(AND(F13&gt;0,E13&gt;0),B13+3,B13/2.5)+((C13-1)*0.02)+(D13*1.08)+(E13*0.33))</f>
        <v>2.05</v>
      </c>
    </row>
    <row r="14" spans="1:7" ht="12">
      <c r="A14" t="s">
        <v>106</v>
      </c>
      <c r="B14">
        <f>0.75-0.8</f>
        <v>-0.050000000000000044</v>
      </c>
      <c r="C14">
        <v>1</v>
      </c>
      <c r="D14">
        <v>1</v>
      </c>
      <c r="E14">
        <v>1</v>
      </c>
      <c r="G14">
        <f>IF(C14=0,0,IF(AND(F14&gt;0,E14&gt;0),B14+3,B14/2.5)+((C14-1)*0.02)+(D14*1.08)+(E14*0.33))</f>
        <v>1.3900000000000001</v>
      </c>
    </row>
    <row r="15" spans="1:7" ht="12">
      <c r="A15" s="6" t="s">
        <v>60</v>
      </c>
      <c r="B15">
        <f>0.375+0.75-0.8</f>
        <v>0.32499999999999996</v>
      </c>
      <c r="C15">
        <v>2</v>
      </c>
      <c r="D15">
        <v>1</v>
      </c>
      <c r="G15">
        <f>IF(C15=0,0,IF(AND(F15&gt;0,E15&gt;0),B15+3,B15/2.5)+((C15-1)*0.02)+(D15*1.08)+(E15*0.33))</f>
        <v>1.23</v>
      </c>
    </row>
    <row r="16" spans="1:7" ht="12">
      <c r="A16" t="s">
        <v>107</v>
      </c>
      <c r="B16">
        <f>0.75-0.8</f>
        <v>-0.050000000000000044</v>
      </c>
      <c r="C16">
        <v>1</v>
      </c>
      <c r="D16">
        <v>1</v>
      </c>
      <c r="G16">
        <f>IF(C16=0,0,IF(AND(F16&gt;0,E16&gt;0),B16+3,B16/2.5)+((C16-1)*0.02)+(D16*1.08)+(E16*0.33))</f>
        <v>1.06</v>
      </c>
    </row>
    <row r="17" spans="1:7" ht="12">
      <c r="A17" t="s">
        <v>48</v>
      </c>
      <c r="B17">
        <f>1-0.8</f>
        <v>0.19999999999999996</v>
      </c>
      <c r="C17">
        <v>1</v>
      </c>
      <c r="E17">
        <v>2</v>
      </c>
      <c r="G17">
        <f>IF(C17=0,0,IF(AND(F17&gt;0,E17&gt;0),B17+3,B17/2.5)+((C17-1)*0.02)+(D17*1.08)+(E17*0.33))</f>
        <v>0.74</v>
      </c>
    </row>
    <row r="18" spans="1:7" ht="12">
      <c r="A18" t="s">
        <v>61</v>
      </c>
      <c r="B18">
        <f>1.5-0.8</f>
        <v>0.7</v>
      </c>
      <c r="C18">
        <v>1</v>
      </c>
      <c r="E18">
        <v>1</v>
      </c>
      <c r="G18">
        <f>IF(C18=0,0,IF(AND(F18&gt;0,E18&gt;0),B18+3,B18/2.5)+((C18-1)*0.02)+(D18*1.08)+(E18*0.33))</f>
        <v>0.61</v>
      </c>
    </row>
    <row r="19" spans="1:7" ht="12">
      <c r="A19" t="s">
        <v>47</v>
      </c>
      <c r="B19">
        <f>1-0.8+1</f>
        <v>1.2</v>
      </c>
      <c r="C19">
        <v>2</v>
      </c>
      <c r="G19">
        <f>IF(C19=0,0,IF(AND(F19&gt;0,E19&gt;0),B19+3,B19/2.5)+((C19-1)*0.02)+(D19*1.08)+(E19*0.33))</f>
        <v>0.5</v>
      </c>
    </row>
    <row r="20" spans="1:7" ht="12">
      <c r="A20" t="s">
        <v>59</v>
      </c>
      <c r="B20">
        <f>0.375</f>
        <v>0.375</v>
      </c>
      <c r="C20">
        <v>1</v>
      </c>
      <c r="E20">
        <v>1</v>
      </c>
      <c r="G20">
        <f>IF(C20=0,0,IF(AND(F20&gt;0,E20&gt;0),B20+3,B20/2.5)+((C20-1)*0.02)+(D20*1.08)+(E20*0.33))</f>
        <v>0.48</v>
      </c>
    </row>
    <row r="21" spans="1:7" ht="12">
      <c r="A21" t="s">
        <v>115</v>
      </c>
      <c r="B21">
        <f>0.8+0.8-0.8</f>
        <v>0.8</v>
      </c>
      <c r="C21">
        <v>2</v>
      </c>
      <c r="G21">
        <f>IF(C21=0,0,IF(AND(F21&gt;0,E21&gt;0),B21+3,B21/2.5)+((C21-1)*0.02)+(D21*1.08)+(E21*0.33))</f>
        <v>0.34</v>
      </c>
    </row>
    <row r="22" spans="1:7" ht="12">
      <c r="A22" t="s">
        <v>76</v>
      </c>
      <c r="B22">
        <f>0.8-0.8+0.8</f>
        <v>0.8</v>
      </c>
      <c r="C22">
        <v>2</v>
      </c>
      <c r="G22">
        <f>IF(C22=0,0,IF(AND(F22&gt;0,E22&gt;0),B22+3,B22/2.5)+((C22-1)*0.02)+(D22*1.08)+(E22*0.33))</f>
        <v>0.34</v>
      </c>
    </row>
    <row r="23" spans="1:7" ht="12">
      <c r="A23" t="s">
        <v>72</v>
      </c>
      <c r="B23">
        <f>0.8</f>
        <v>0.8</v>
      </c>
      <c r="C23">
        <v>1</v>
      </c>
      <c r="G23">
        <f>IF(C23=0,0,IF(AND(F23&gt;0,E23&gt;0),B23+3,B23/2.5)+((C23-1)*0.02)+(D23*1.08)+(E23*0.33))</f>
        <v>0.32</v>
      </c>
    </row>
    <row r="24" spans="1:7" ht="12">
      <c r="A24" t="s">
        <v>57</v>
      </c>
      <c r="B24">
        <f>0.375-0.8</f>
        <v>-0.42500000000000004</v>
      </c>
      <c r="C24">
        <v>1</v>
      </c>
      <c r="E24">
        <v>1</v>
      </c>
      <c r="G24">
        <f>IF(C24=0,0,IF(AND(F24&gt;0,E24&gt;0),B24+3,B24/2.5)+((C24-1)*0.02)+(D24*1.08)+(E24*0.33))</f>
        <v>0.16</v>
      </c>
    </row>
    <row r="25" spans="1:7" ht="12">
      <c r="A25" t="s">
        <v>46</v>
      </c>
      <c r="B25">
        <f>1-0.8</f>
        <v>0.19999999999999996</v>
      </c>
      <c r="C25">
        <v>1</v>
      </c>
      <c r="G25">
        <f>IF(C25=0,0,IF(AND(F25&gt;0,E25&gt;0),B25+3,B25/2.5)+((C25-1)*0.02)+(D25*1.08)+(E25*0.33))</f>
        <v>0.07999999999999999</v>
      </c>
    </row>
    <row r="26" spans="1:7" ht="12">
      <c r="A26" t="s">
        <v>131</v>
      </c>
      <c r="B26">
        <f>1-0.8</f>
        <v>0.19999999999999996</v>
      </c>
      <c r="C26">
        <v>1</v>
      </c>
      <c r="G26">
        <f>IF(C26=0,0,IF(AND(F26&gt;0,E26&gt;0),B26+3,B26/2.5)+((C26-1)*0.02)+(D26*1.08)+(E26*0.33))</f>
        <v>0.07999999999999999</v>
      </c>
    </row>
    <row r="27" spans="1:7" ht="12">
      <c r="A27" t="s">
        <v>138</v>
      </c>
      <c r="B27">
        <f>-0.8+1</f>
        <v>0.19999999999999996</v>
      </c>
      <c r="C27">
        <v>1</v>
      </c>
      <c r="G27">
        <f>IF(C27=0,0,IF(AND(F27&gt;0,E27&gt;0),B27+3,B27/2.5)+((C27-1)*0.02)+(D27*1.08)+(E27*0.33))</f>
        <v>0.07999999999999999</v>
      </c>
    </row>
    <row r="28" spans="1:7" ht="12">
      <c r="A28" t="s">
        <v>80</v>
      </c>
      <c r="B28">
        <f>0.8-0.8</f>
        <v>0</v>
      </c>
      <c r="C28">
        <v>1</v>
      </c>
      <c r="G28">
        <f>IF(C28=0,0,IF(AND(F28&gt;0,E28&gt;0),B28+3,B28/2.5)+((C28-1)*0.02)+(D28*1.08)+(E28*0.33))</f>
        <v>0</v>
      </c>
    </row>
    <row r="29" spans="1:7" ht="12">
      <c r="A29" t="s">
        <v>114</v>
      </c>
      <c r="B29">
        <f>0.8-0.8</f>
        <v>0</v>
      </c>
      <c r="C29">
        <v>1</v>
      </c>
      <c r="G29">
        <f>IF(C29=0,0,IF(AND(F29&gt;0,E29&gt;0),B29+3,B29/2.5)+((C29-1)*0.02)+(D29*1.08)+(E29*0.33))</f>
        <v>0</v>
      </c>
    </row>
    <row r="30" spans="1:7" ht="12">
      <c r="A30" t="s">
        <v>82</v>
      </c>
      <c r="D30">
        <v>1</v>
      </c>
      <c r="G30">
        <f>IF(C30=0,0,IF(AND(F30&gt;0,E30&gt;0),B30+3,B30/2.5)+((C30-1)*0.02)+(D30*1.08)+(E30*0.33))</f>
        <v>0</v>
      </c>
    </row>
    <row r="31" spans="1:7" ht="12">
      <c r="A31" t="s">
        <v>112</v>
      </c>
      <c r="B31">
        <v>-0.8</v>
      </c>
      <c r="E31">
        <v>1</v>
      </c>
      <c r="G31">
        <f>IF(C31=0,0,IF(AND(F31&gt;0,E31&gt;0),B31+3,B31/2.5)+((C31-1)*0.02)+(D31*1.08)+(E31*0.33))</f>
        <v>0</v>
      </c>
    </row>
    <row r="32" spans="1:7" ht="12">
      <c r="A32" t="s">
        <v>84</v>
      </c>
      <c r="D32">
        <v>1</v>
      </c>
      <c r="G32">
        <f>IF(C32=0,0,IF(AND(F32&gt;0,E32&gt;0),B32+3,B32/2.5)+((C32-1)*0.02)+(D32*1.08)+(E32*0.33))</f>
        <v>0</v>
      </c>
    </row>
    <row r="33" spans="1:7" ht="12">
      <c r="A33" t="s">
        <v>111</v>
      </c>
      <c r="B33">
        <v>-0.8</v>
      </c>
      <c r="E33">
        <v>1</v>
      </c>
      <c r="G33">
        <f>IF(C33=0,0,IF(AND(F33&gt;0,E33&gt;0),B33+3,B33/2.5)+((C33-1)*0.02)+(D33*1.08)+(E33*0.33))</f>
        <v>0</v>
      </c>
    </row>
    <row r="34" spans="1:7" ht="12">
      <c r="A34" t="s">
        <v>125</v>
      </c>
      <c r="E34">
        <v>1</v>
      </c>
      <c r="G34">
        <f>IF(C34=0,0,IF(AND(F34&gt;0,E34&gt;0),B34+3,B34/2.5)+((C34-1)*0.02)+(D34*1.08)+(E34*0.33))</f>
        <v>0</v>
      </c>
    </row>
    <row r="35" spans="1:7" ht="12">
      <c r="A35" t="s">
        <v>126</v>
      </c>
      <c r="E35">
        <v>1</v>
      </c>
      <c r="G35">
        <f>IF(C35=0,0,IF(AND(F35&gt;0,E35&gt;0),B35+3,B35/2.5)+((C35-1)*0.02)+(D35*1.08)+(E35*0.33))</f>
        <v>0</v>
      </c>
    </row>
    <row r="36" spans="1:7" ht="12">
      <c r="A36" t="s">
        <v>127</v>
      </c>
      <c r="D36">
        <v>1</v>
      </c>
      <c r="E36">
        <v>2</v>
      </c>
      <c r="G36">
        <f>IF(C36=0,0,IF(AND(F36&gt;0,E36&gt;0),B36+3,B36/2.5)+((C36-1)*0.02)+(D36*1.08)+(E36*0.33))</f>
        <v>0</v>
      </c>
    </row>
    <row r="37" spans="1:7" ht="12">
      <c r="A37" t="s">
        <v>128</v>
      </c>
      <c r="B37">
        <f>-0.8</f>
        <v>-0.8</v>
      </c>
      <c r="E37">
        <v>1</v>
      </c>
      <c r="G37">
        <f>IF(C37=0,0,IF(AND(F37&gt;0,E37&gt;0),B37+3,B37/2.5)+((C37-1)*0.02)+(D37*1.08)+(E37*0.33))</f>
        <v>0</v>
      </c>
    </row>
    <row r="38" spans="1:7" ht="12">
      <c r="A38" t="s">
        <v>129</v>
      </c>
      <c r="B38">
        <f>-0.8</f>
        <v>-0.8</v>
      </c>
      <c r="E38">
        <v>1</v>
      </c>
      <c r="G38">
        <f>IF(C38=0,0,IF(AND(F38&gt;0,E38&gt;0),B38+3,B38/2.5)+((C38-1)*0.02)+(D38*1.08)+(E38*0.33))</f>
        <v>0</v>
      </c>
    </row>
    <row r="39" spans="1:7" ht="12">
      <c r="A39" t="s">
        <v>130</v>
      </c>
      <c r="B39">
        <f>-0.8</f>
        <v>-0.8</v>
      </c>
      <c r="E39">
        <v>2</v>
      </c>
      <c r="G39">
        <f>IF(C39=0,0,IF(AND(F39&gt;0,E39&gt;0),B39+3,B39/2.5)+((C39-1)*0.02)+(D39*1.08)+(E39*0.33))</f>
        <v>0</v>
      </c>
    </row>
    <row r="40" spans="1:7" ht="12">
      <c r="A40" t="s">
        <v>135</v>
      </c>
      <c r="B40">
        <f>-0.8</f>
        <v>-0.8</v>
      </c>
      <c r="E40">
        <v>1</v>
      </c>
      <c r="G40">
        <f>IF(C40=0,0,IF(AND(F40&gt;0,E40&gt;0),B40+3,B40/2.5)+((C40-1)*0.02)+(D40*1.08)+(E40*0.33))</f>
        <v>0</v>
      </c>
    </row>
    <row r="41" spans="1:7" ht="12">
      <c r="A41" t="s">
        <v>143</v>
      </c>
      <c r="E41">
        <v>1</v>
      </c>
      <c r="G41">
        <f>IF(C41=0,0,IF(AND(F41&gt;0,E41&gt;0),B41+3,B41/2.5)+((C41-1)*0.02)+(D41*1.08)+(E41*0.33))</f>
        <v>0</v>
      </c>
    </row>
    <row r="42" spans="1:7" ht="12">
      <c r="A42" t="s">
        <v>144</v>
      </c>
      <c r="B42">
        <f>-0.8</f>
        <v>-0.8</v>
      </c>
      <c r="E42">
        <v>1</v>
      </c>
      <c r="G42">
        <f>IF(C42=0,0,IF(AND(F42&gt;0,E42&gt;0),B42+3,B42/2.5)+((C42-1)*0.02)+(D42*1.08)+(E42*0.33))</f>
        <v>0</v>
      </c>
    </row>
    <row r="43" spans="1:7" ht="12">
      <c r="A43" t="s">
        <v>55</v>
      </c>
      <c r="B43">
        <f>0.375-0.8</f>
        <v>-0.42500000000000004</v>
      </c>
      <c r="C43">
        <v>1</v>
      </c>
      <c r="G43">
        <f>IF(C43=0,0,IF(AND(F43&gt;0,E43&gt;0),B43+3,B43/2.5)+((C43-1)*0.02)+(D43*1.08)+(E43*0.33))</f>
        <v>-0.17</v>
      </c>
    </row>
    <row r="44" spans="1:7" ht="12">
      <c r="A44" t="s">
        <v>58</v>
      </c>
      <c r="B44">
        <f>0.375-0.8</f>
        <v>-0.42500000000000004</v>
      </c>
      <c r="C44">
        <v>1</v>
      </c>
      <c r="G44">
        <f>IF(C44=0,0,IF(AND(F44&gt;0,E44&gt;0),B44+3,B44/2.5)+((C44-1)*0.02)+(D44*1.08)+(E44*0.33))</f>
        <v>-0.17</v>
      </c>
    </row>
    <row r="53" ht="12">
      <c r="A53" s="1"/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57421875" defaultRowHeight="12.75"/>
  <cols>
    <col min="1" max="1" width="41.140625" style="0" customWidth="1"/>
    <col min="2" max="16384" width="11.421875" style="0" customWidth="1"/>
  </cols>
  <sheetData>
    <row r="1" spans="1:7" ht="12">
      <c r="A1" t="s">
        <v>66</v>
      </c>
      <c r="B1">
        <f>1.5+3+0.8+3+0.8+3+1.5+3+2+1.5+0.8+1+1.5+0.8+0.8+1.5+0.8+0.8+1.5+0.8+1+1+1.5+4+2+3+0.8+1.5+1+1</f>
        <v>47.2</v>
      </c>
      <c r="C1">
        <v>30</v>
      </c>
      <c r="D1">
        <v>14</v>
      </c>
      <c r="E1">
        <v>10</v>
      </c>
      <c r="F1">
        <v>1</v>
      </c>
      <c r="G1">
        <f aca="true" t="shared" si="0" ref="G1:G22">IF((F1&gt;0),B1+3,B1/2.5)+(C1-1)*0.111+D1*0.35+E1*0.222</f>
        <v>60.539</v>
      </c>
    </row>
    <row r="2" spans="1:7" ht="12">
      <c r="A2" t="s">
        <v>63</v>
      </c>
      <c r="B2">
        <f>1+2+1+1.5+1+1+1+1+4+2+1+1</f>
        <v>17.5</v>
      </c>
      <c r="C2">
        <v>12</v>
      </c>
      <c r="D2">
        <v>2</v>
      </c>
      <c r="E2">
        <v>11</v>
      </c>
      <c r="F2">
        <v>1</v>
      </c>
      <c r="G2">
        <f t="shared" si="0"/>
        <v>24.863</v>
      </c>
    </row>
    <row r="3" spans="1:7" ht="12">
      <c r="A3" t="s">
        <v>67</v>
      </c>
      <c r="B3">
        <f>1+2+2+1+1+0.8+1-0.8+4+2+0.8+1+1</f>
        <v>16.8</v>
      </c>
      <c r="C3">
        <v>12</v>
      </c>
      <c r="D3">
        <v>4</v>
      </c>
      <c r="E3">
        <v>10</v>
      </c>
      <c r="F3">
        <v>1</v>
      </c>
      <c r="G3">
        <f t="shared" si="0"/>
        <v>24.641</v>
      </c>
    </row>
    <row r="4" spans="1:7" ht="12">
      <c r="A4" t="s">
        <v>69</v>
      </c>
      <c r="B4">
        <f>1+2+2+1+0.8+0.8+1+0.8+1+1+4+2+1</f>
        <v>18.4</v>
      </c>
      <c r="C4">
        <v>13</v>
      </c>
      <c r="E4">
        <v>8</v>
      </c>
      <c r="F4">
        <v>1</v>
      </c>
      <c r="G4">
        <f t="shared" si="0"/>
        <v>24.508</v>
      </c>
    </row>
    <row r="5" spans="1:7" ht="12">
      <c r="A5" t="s">
        <v>104</v>
      </c>
      <c r="B5">
        <f>2+1+1+1+4+2</f>
        <v>11</v>
      </c>
      <c r="C5">
        <v>6</v>
      </c>
      <c r="E5">
        <v>10</v>
      </c>
      <c r="F5">
        <v>1</v>
      </c>
      <c r="G5">
        <f t="shared" si="0"/>
        <v>16.775</v>
      </c>
    </row>
    <row r="6" spans="1:7" ht="12">
      <c r="A6" t="s">
        <v>65</v>
      </c>
      <c r="B6">
        <f>1+0.8+2+1+1+1</f>
        <v>6.8</v>
      </c>
      <c r="C6">
        <v>6</v>
      </c>
      <c r="D6">
        <v>2</v>
      </c>
      <c r="E6">
        <v>6</v>
      </c>
      <c r="F6">
        <v>0</v>
      </c>
      <c r="G6">
        <f t="shared" si="0"/>
        <v>5.3069999999999995</v>
      </c>
    </row>
    <row r="7" spans="1:7" ht="12">
      <c r="A7" t="s">
        <v>64</v>
      </c>
      <c r="B7">
        <f>1+2+1+1+1+1+1</f>
        <v>8</v>
      </c>
      <c r="C7">
        <v>7</v>
      </c>
      <c r="E7">
        <v>4</v>
      </c>
      <c r="F7">
        <v>0</v>
      </c>
      <c r="G7">
        <f t="shared" si="0"/>
        <v>4.7540000000000004</v>
      </c>
    </row>
    <row r="8" spans="1:7" ht="12">
      <c r="A8" t="s">
        <v>120</v>
      </c>
      <c r="B8">
        <f>1+1+1</f>
        <v>3</v>
      </c>
      <c r="C8">
        <v>3</v>
      </c>
      <c r="E8">
        <v>8</v>
      </c>
      <c r="F8">
        <v>0</v>
      </c>
      <c r="G8">
        <f t="shared" si="0"/>
        <v>3.198</v>
      </c>
    </row>
    <row r="9" spans="1:7" ht="12">
      <c r="A9" t="s">
        <v>62</v>
      </c>
      <c r="B9">
        <f>1+1+1</f>
        <v>3</v>
      </c>
      <c r="C9">
        <v>3</v>
      </c>
      <c r="E9">
        <v>4</v>
      </c>
      <c r="G9">
        <f t="shared" si="0"/>
        <v>2.31</v>
      </c>
    </row>
    <row r="10" spans="1:7" ht="12">
      <c r="A10" t="s">
        <v>70</v>
      </c>
      <c r="B10">
        <f>1+1.5</f>
        <v>2.5</v>
      </c>
      <c r="C10">
        <v>2</v>
      </c>
      <c r="F10">
        <v>0</v>
      </c>
      <c r="G10">
        <f t="shared" si="0"/>
        <v>1.111</v>
      </c>
    </row>
    <row r="11" spans="1:7" ht="12">
      <c r="A11" t="s">
        <v>71</v>
      </c>
      <c r="B11">
        <f>1+1-0.8</f>
        <v>1.2</v>
      </c>
      <c r="C11">
        <v>2</v>
      </c>
      <c r="E11">
        <v>2</v>
      </c>
      <c r="G11">
        <f t="shared" si="0"/>
        <v>1.035</v>
      </c>
    </row>
    <row r="12" spans="1:7" ht="12">
      <c r="A12" t="s">
        <v>78</v>
      </c>
      <c r="B12">
        <f>1</f>
        <v>1</v>
      </c>
      <c r="C12">
        <v>1</v>
      </c>
      <c r="D12">
        <v>1</v>
      </c>
      <c r="G12">
        <f t="shared" si="0"/>
        <v>0.75</v>
      </c>
    </row>
    <row r="13" spans="1:7" ht="12">
      <c r="A13" t="s">
        <v>123</v>
      </c>
      <c r="B13">
        <f>1-0.8</f>
        <v>0.19999999999999996</v>
      </c>
      <c r="C13">
        <v>1</v>
      </c>
      <c r="E13">
        <v>3</v>
      </c>
      <c r="G13">
        <f t="shared" si="0"/>
        <v>0.746</v>
      </c>
    </row>
    <row r="14" spans="1:7" ht="12">
      <c r="A14" t="s">
        <v>117</v>
      </c>
      <c r="B14">
        <f>0.8+0.8-0.8</f>
        <v>0.8</v>
      </c>
      <c r="C14">
        <v>2</v>
      </c>
      <c r="G14">
        <f t="shared" si="0"/>
        <v>0.431</v>
      </c>
    </row>
    <row r="15" spans="1:7" ht="12">
      <c r="A15" t="s">
        <v>119</v>
      </c>
      <c r="B15">
        <f>0.8-0.8+0.8</f>
        <v>0.8</v>
      </c>
      <c r="C15">
        <v>2</v>
      </c>
      <c r="G15">
        <f t="shared" si="0"/>
        <v>0.431</v>
      </c>
    </row>
    <row r="16" spans="1:7" ht="12">
      <c r="A16" t="s">
        <v>118</v>
      </c>
      <c r="B16">
        <f>0.8</f>
        <v>0.8</v>
      </c>
      <c r="C16">
        <v>1</v>
      </c>
      <c r="G16">
        <f t="shared" si="0"/>
        <v>0.32</v>
      </c>
    </row>
    <row r="17" spans="1:7" ht="12">
      <c r="A17" t="s">
        <v>68</v>
      </c>
      <c r="B17">
        <f>1-0.8</f>
        <v>0.19999999999999996</v>
      </c>
      <c r="C17">
        <v>1</v>
      </c>
      <c r="G17">
        <f t="shared" si="0"/>
        <v>0.07999999999999999</v>
      </c>
    </row>
    <row r="18" spans="1:7" ht="12">
      <c r="A18" t="s">
        <v>116</v>
      </c>
      <c r="B18">
        <f>0.8-0.8</f>
        <v>0</v>
      </c>
      <c r="C18">
        <v>1</v>
      </c>
      <c r="G18">
        <f t="shared" si="0"/>
        <v>0</v>
      </c>
    </row>
    <row r="19" spans="1:7" ht="12">
      <c r="A19" t="s">
        <v>81</v>
      </c>
      <c r="B19">
        <f>0.8-0.8</f>
        <v>0</v>
      </c>
      <c r="C19">
        <v>1</v>
      </c>
      <c r="G19">
        <f t="shared" si="0"/>
        <v>0</v>
      </c>
    </row>
    <row r="20" ht="12">
      <c r="G20">
        <f t="shared" si="0"/>
        <v>-0.111</v>
      </c>
    </row>
    <row r="21" ht="12">
      <c r="G21">
        <f t="shared" si="0"/>
        <v>-0.111</v>
      </c>
    </row>
    <row r="22" ht="12">
      <c r="G22">
        <f t="shared" si="0"/>
        <v>-0.111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57421875" defaultRowHeight="12.75"/>
  <cols>
    <col min="1" max="1" width="39.7109375" style="0" customWidth="1"/>
    <col min="2" max="16384" width="11.421875" style="0" customWidth="1"/>
  </cols>
  <sheetData>
    <row r="1" spans="1:4" ht="12">
      <c r="A1" t="s">
        <v>13</v>
      </c>
      <c r="B1">
        <f>1.5+3+3+1.5+3+4+2+1.5+1.5+1.5+1+3+1</f>
        <v>27.5</v>
      </c>
      <c r="C1">
        <v>13</v>
      </c>
      <c r="D1">
        <f aca="true" t="shared" si="0" ref="D1:D15">B1+(0.11*(C1-1))</f>
        <v>28.82</v>
      </c>
    </row>
    <row r="2" spans="1:4" ht="12">
      <c r="A2" t="s">
        <v>12</v>
      </c>
      <c r="B2">
        <f>1+3+2+4+1+1+1.5+1</f>
        <v>14.5</v>
      </c>
      <c r="C2">
        <v>8</v>
      </c>
      <c r="D2">
        <f t="shared" si="0"/>
        <v>15.27</v>
      </c>
    </row>
    <row r="3" spans="1:4" ht="12">
      <c r="A3" t="s">
        <v>14</v>
      </c>
      <c r="B3">
        <f>1+2+4+1+1.5+1+1</f>
        <v>11.5</v>
      </c>
      <c r="C3">
        <v>7</v>
      </c>
      <c r="D3">
        <f t="shared" si="0"/>
        <v>12.16</v>
      </c>
    </row>
    <row r="4" spans="1:4" ht="12">
      <c r="A4" t="s">
        <v>108</v>
      </c>
      <c r="B4">
        <f>4+1+2+1+1</f>
        <v>9</v>
      </c>
      <c r="C4">
        <v>5</v>
      </c>
      <c r="D4">
        <f t="shared" si="0"/>
        <v>9.44</v>
      </c>
    </row>
    <row r="5" spans="1:4" ht="12">
      <c r="A5" t="s">
        <v>11</v>
      </c>
      <c r="B5">
        <f>1+4+2</f>
        <v>7</v>
      </c>
      <c r="C5">
        <v>3</v>
      </c>
      <c r="D5">
        <f t="shared" si="0"/>
        <v>7.22</v>
      </c>
    </row>
    <row r="6" spans="1:4" ht="12">
      <c r="A6" t="s">
        <v>15</v>
      </c>
      <c r="B6">
        <f>1+2+1+1</f>
        <v>5</v>
      </c>
      <c r="C6">
        <v>4</v>
      </c>
      <c r="D6">
        <f t="shared" si="0"/>
        <v>5.33</v>
      </c>
    </row>
    <row r="7" spans="1:4" ht="12">
      <c r="A7" t="s">
        <v>8</v>
      </c>
      <c r="B7">
        <f>1+2+2</f>
        <v>5</v>
      </c>
      <c r="C7">
        <v>3</v>
      </c>
      <c r="D7">
        <f t="shared" si="0"/>
        <v>5.22</v>
      </c>
    </row>
    <row r="8" spans="1:4" ht="12">
      <c r="A8" t="s">
        <v>92</v>
      </c>
      <c r="B8">
        <f>2+2</f>
        <v>4</v>
      </c>
      <c r="C8">
        <v>2</v>
      </c>
      <c r="D8">
        <f t="shared" si="0"/>
        <v>4.11</v>
      </c>
    </row>
    <row r="9" spans="1:4" ht="12">
      <c r="A9" t="s">
        <v>27</v>
      </c>
      <c r="B9">
        <f>0.375+0.75</f>
        <v>1.125</v>
      </c>
      <c r="C9">
        <v>2</v>
      </c>
      <c r="D9">
        <f t="shared" si="0"/>
        <v>1.235</v>
      </c>
    </row>
    <row r="10" spans="1:4" ht="12">
      <c r="A10" t="s">
        <v>9</v>
      </c>
      <c r="B10">
        <f>1</f>
        <v>1</v>
      </c>
      <c r="C10">
        <v>1</v>
      </c>
      <c r="D10">
        <f t="shared" si="0"/>
        <v>1</v>
      </c>
    </row>
    <row r="11" spans="1:4" ht="12">
      <c r="A11" t="s">
        <v>10</v>
      </c>
      <c r="B11">
        <f>1</f>
        <v>1</v>
      </c>
      <c r="C11">
        <v>1</v>
      </c>
      <c r="D11">
        <f t="shared" si="0"/>
        <v>1</v>
      </c>
    </row>
    <row r="12" spans="1:4" ht="12">
      <c r="A12" t="s">
        <v>96</v>
      </c>
      <c r="B12">
        <f>1</f>
        <v>1</v>
      </c>
      <c r="C12">
        <v>1</v>
      </c>
      <c r="D12">
        <f t="shared" si="0"/>
        <v>1</v>
      </c>
    </row>
    <row r="13" spans="1:4" ht="12">
      <c r="A13" t="s">
        <v>94</v>
      </c>
      <c r="B13">
        <f>0.75</f>
        <v>0.75</v>
      </c>
      <c r="C13">
        <v>1</v>
      </c>
      <c r="D13">
        <f t="shared" si="0"/>
        <v>0.75</v>
      </c>
    </row>
    <row r="14" spans="1:4" ht="12">
      <c r="A14" t="s">
        <v>95</v>
      </c>
      <c r="B14">
        <f>0.75</f>
        <v>0.75</v>
      </c>
      <c r="C14">
        <v>1</v>
      </c>
      <c r="D14">
        <f t="shared" si="0"/>
        <v>0.75</v>
      </c>
    </row>
    <row r="15" spans="1:4" ht="12">
      <c r="A15" t="s">
        <v>97</v>
      </c>
      <c r="B15">
        <f>0.75</f>
        <v>0.75</v>
      </c>
      <c r="C15">
        <v>1</v>
      </c>
      <c r="D15">
        <f t="shared" si="0"/>
        <v>0.75</v>
      </c>
    </row>
    <row r="16" spans="1:4" ht="12">
      <c r="A16" t="s">
        <v>113</v>
      </c>
      <c r="B16">
        <f>1.5</f>
        <v>1.5</v>
      </c>
      <c r="C16">
        <v>1</v>
      </c>
      <c r="D16">
        <f>B16/3.3+(0.11*(C16-1))</f>
        <v>0.4545454545454546</v>
      </c>
    </row>
    <row r="17" spans="1:4" ht="12">
      <c r="A17" t="s">
        <v>86</v>
      </c>
      <c r="B17">
        <f>1.5</f>
        <v>1.5</v>
      </c>
      <c r="C17">
        <v>1</v>
      </c>
      <c r="D17">
        <f>B17/3.3+(0.11*(C17-1))</f>
        <v>0.4545454545454546</v>
      </c>
    </row>
    <row r="18" spans="1:4" ht="12">
      <c r="A18" t="s">
        <v>26</v>
      </c>
      <c r="B18">
        <f>0.375</f>
        <v>0.375</v>
      </c>
      <c r="C18">
        <v>1</v>
      </c>
      <c r="D18">
        <f>B18+(0.11*(C18-1))</f>
        <v>0.375</v>
      </c>
    </row>
    <row r="19" spans="1:4" ht="12">
      <c r="A19" t="s">
        <v>29</v>
      </c>
      <c r="B19">
        <f>0.375</f>
        <v>0.375</v>
      </c>
      <c r="C19">
        <v>1</v>
      </c>
      <c r="D19">
        <f>B19+(0.11*(C19-1))</f>
        <v>0.375</v>
      </c>
    </row>
    <row r="20" spans="1:4" ht="12">
      <c r="A20" t="s">
        <v>28</v>
      </c>
      <c r="B20">
        <f>0.375</f>
        <v>0.375</v>
      </c>
      <c r="C20">
        <v>1</v>
      </c>
      <c r="D20">
        <f>B20+(0.11*(C20-1))</f>
        <v>0.375</v>
      </c>
    </row>
    <row r="21" spans="1:4" ht="12">
      <c r="A21" t="s">
        <v>132</v>
      </c>
      <c r="B21">
        <f>1</f>
        <v>1</v>
      </c>
      <c r="C21">
        <v>1</v>
      </c>
      <c r="D21">
        <f>B21/3.3+(0.11*(C21-1))</f>
        <v>0.30303030303030304</v>
      </c>
    </row>
    <row r="22" spans="1:4" ht="12">
      <c r="A22" t="s">
        <v>24</v>
      </c>
      <c r="B22">
        <f>0.8</f>
        <v>0.8</v>
      </c>
      <c r="C22">
        <v>1</v>
      </c>
      <c r="D22">
        <f>B22/3.3+(0.11*(C22-1))</f>
        <v>0.24242424242424246</v>
      </c>
    </row>
    <row r="23" spans="1:4" ht="12">
      <c r="A23" t="s">
        <v>25</v>
      </c>
      <c r="B23">
        <f>0.375</f>
        <v>0.375</v>
      </c>
      <c r="C23">
        <v>1</v>
      </c>
      <c r="D23">
        <f>B23/3.3+(0.11*(C23-1))</f>
        <v>0.11363636363636365</v>
      </c>
    </row>
    <row r="24" spans="1:4" ht="12">
      <c r="A24" t="s">
        <v>23</v>
      </c>
      <c r="B24">
        <f>0.375</f>
        <v>0.375</v>
      </c>
      <c r="C24">
        <v>1</v>
      </c>
      <c r="D24">
        <f>B24/3.3+(0.11*(C24-1))</f>
        <v>0.11363636363636365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11.57421875" defaultRowHeight="12.75"/>
  <cols>
    <col min="1" max="1" width="43.140625" style="0" customWidth="1"/>
    <col min="2" max="3" width="8.8515625" style="0" customWidth="1"/>
    <col min="4" max="4" width="9.28125" style="0" customWidth="1"/>
    <col min="5" max="16384" width="11.421875" style="0" customWidth="1"/>
  </cols>
  <sheetData>
    <row r="1" spans="1:4" ht="12">
      <c r="A1" t="s">
        <v>3</v>
      </c>
      <c r="B1">
        <f>1+1.5+3+4+2+1.5+1.5+1.5+1.5+3+1</f>
        <v>21.5</v>
      </c>
      <c r="C1">
        <v>11</v>
      </c>
      <c r="D1">
        <f aca="true" t="shared" si="0" ref="D1:D8">B1+(0.11*(C1-1))</f>
        <v>22.6</v>
      </c>
    </row>
    <row r="2" spans="1:4" ht="12">
      <c r="A2" t="s">
        <v>16</v>
      </c>
      <c r="B2">
        <f>1+3+1+4+1+1+1+1</f>
        <v>13</v>
      </c>
      <c r="C2">
        <v>8</v>
      </c>
      <c r="D2">
        <f t="shared" si="0"/>
        <v>13.77</v>
      </c>
    </row>
    <row r="3" spans="1:4" ht="12">
      <c r="A3" t="s">
        <v>1</v>
      </c>
      <c r="B3">
        <f>1+2+2+4+1.5+1+1+1</f>
        <v>13.5</v>
      </c>
      <c r="C3">
        <v>8</v>
      </c>
      <c r="D3">
        <f t="shared" si="0"/>
        <v>14.27</v>
      </c>
    </row>
    <row r="4" spans="1:4" ht="12">
      <c r="A4" t="s">
        <v>0</v>
      </c>
      <c r="B4">
        <f>1+2+2+4+1</f>
        <v>10</v>
      </c>
      <c r="C4">
        <v>5</v>
      </c>
      <c r="D4">
        <f t="shared" si="0"/>
        <v>10.44</v>
      </c>
    </row>
    <row r="5" spans="1:4" ht="12">
      <c r="A5" t="s">
        <v>7</v>
      </c>
      <c r="B5">
        <f>1+2+1</f>
        <v>4</v>
      </c>
      <c r="C5">
        <v>3</v>
      </c>
      <c r="D5">
        <f t="shared" si="0"/>
        <v>4.22</v>
      </c>
    </row>
    <row r="6" spans="1:4" ht="12">
      <c r="A6" t="s">
        <v>20</v>
      </c>
      <c r="B6">
        <f>1+0.75+1+1</f>
        <v>3.75</v>
      </c>
      <c r="C6">
        <v>4</v>
      </c>
      <c r="D6">
        <f t="shared" si="0"/>
        <v>4.08</v>
      </c>
    </row>
    <row r="7" spans="1:4" ht="12">
      <c r="A7" t="s">
        <v>109</v>
      </c>
      <c r="B7">
        <f>4</f>
        <v>4</v>
      </c>
      <c r="C7">
        <v>1</v>
      </c>
      <c r="D7">
        <f t="shared" si="0"/>
        <v>4</v>
      </c>
    </row>
    <row r="8" spans="1:4" ht="12">
      <c r="A8" t="s">
        <v>93</v>
      </c>
      <c r="B8">
        <f>2</f>
        <v>2</v>
      </c>
      <c r="C8">
        <v>1</v>
      </c>
      <c r="D8">
        <f t="shared" si="0"/>
        <v>2</v>
      </c>
    </row>
    <row r="9" spans="1:4" ht="12">
      <c r="A9" t="s">
        <v>79</v>
      </c>
      <c r="B9">
        <f>3+1.5+1+0</f>
        <v>5.5</v>
      </c>
      <c r="C9">
        <v>4</v>
      </c>
      <c r="D9">
        <f>B9/3.3+(0.11*(C9-1))</f>
        <v>1.9966666666666668</v>
      </c>
    </row>
    <row r="10" spans="1:4" ht="12">
      <c r="A10" t="s">
        <v>17</v>
      </c>
      <c r="B10">
        <f>0.8+0.75</f>
        <v>1.55</v>
      </c>
      <c r="C10">
        <v>2</v>
      </c>
      <c r="D10">
        <f>B10+(0.11*(C10-1))</f>
        <v>1.6600000000000001</v>
      </c>
    </row>
    <row r="11" spans="1:4" ht="12">
      <c r="A11" t="s">
        <v>4</v>
      </c>
      <c r="B11">
        <f>1.5+2</f>
        <v>3.5</v>
      </c>
      <c r="C11">
        <v>2</v>
      </c>
      <c r="D11">
        <f>B11/3.3+(0.11*(C11-1))</f>
        <v>1.1706060606060606</v>
      </c>
    </row>
    <row r="12" spans="1:4" ht="12">
      <c r="A12" t="s">
        <v>2</v>
      </c>
      <c r="B12">
        <f>1</f>
        <v>1</v>
      </c>
      <c r="C12">
        <v>1</v>
      </c>
      <c r="D12">
        <f aca="true" t="shared" si="1" ref="D12:D18">B12+(0.11*(C12-1))</f>
        <v>1</v>
      </c>
    </row>
    <row r="13" spans="1:4" ht="12">
      <c r="A13" t="s">
        <v>6</v>
      </c>
      <c r="B13">
        <f>1</f>
        <v>1</v>
      </c>
      <c r="C13">
        <v>1</v>
      </c>
      <c r="D13">
        <f t="shared" si="1"/>
        <v>1</v>
      </c>
    </row>
    <row r="14" spans="1:4" ht="12">
      <c r="A14" t="s">
        <v>5</v>
      </c>
      <c r="B14">
        <f>1</f>
        <v>1</v>
      </c>
      <c r="C14">
        <v>1</v>
      </c>
      <c r="D14">
        <f t="shared" si="1"/>
        <v>1</v>
      </c>
    </row>
    <row r="15" spans="1:4" ht="12">
      <c r="A15" t="s">
        <v>98</v>
      </c>
      <c r="B15">
        <f>0.75</f>
        <v>0.75</v>
      </c>
      <c r="C15">
        <v>1</v>
      </c>
      <c r="D15">
        <f t="shared" si="1"/>
        <v>0.75</v>
      </c>
    </row>
    <row r="16" spans="1:4" ht="12">
      <c r="A16" t="s">
        <v>99</v>
      </c>
      <c r="B16">
        <f>0.75</f>
        <v>0.75</v>
      </c>
      <c r="C16">
        <v>1</v>
      </c>
      <c r="D16">
        <f t="shared" si="1"/>
        <v>0.75</v>
      </c>
    </row>
    <row r="17" spans="1:4" ht="12">
      <c r="A17" t="s">
        <v>19</v>
      </c>
      <c r="B17">
        <f>0.375</f>
        <v>0.375</v>
      </c>
      <c r="C17">
        <v>1</v>
      </c>
      <c r="D17">
        <f t="shared" si="1"/>
        <v>0.375</v>
      </c>
    </row>
    <row r="18" spans="1:4" ht="12">
      <c r="A18" t="s">
        <v>22</v>
      </c>
      <c r="B18">
        <f>0.375</f>
        <v>0.375</v>
      </c>
      <c r="C18">
        <v>1</v>
      </c>
      <c r="D18">
        <f t="shared" si="1"/>
        <v>0.375</v>
      </c>
    </row>
    <row r="19" spans="1:4" ht="12">
      <c r="A19" t="s">
        <v>21</v>
      </c>
      <c r="B19">
        <f>0.375</f>
        <v>0.375</v>
      </c>
      <c r="C19">
        <v>1</v>
      </c>
      <c r="D19">
        <f>B19/3.3+(0.11*(C19-1))</f>
        <v>0.11363636363636365</v>
      </c>
    </row>
    <row r="20" spans="1:4" ht="12">
      <c r="A20" t="s">
        <v>18</v>
      </c>
      <c r="B20">
        <f>0.375</f>
        <v>0.375</v>
      </c>
      <c r="C20">
        <v>1</v>
      </c>
      <c r="D20">
        <f>B20/3.3+(0.11*(C20-1))</f>
        <v>0.11363636363636365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11.57421875" defaultRowHeight="12.75"/>
  <cols>
    <col min="1" max="1" width="42.00390625" style="0" customWidth="1"/>
    <col min="2" max="16384" width="11.421875" style="0" customWidth="1"/>
  </cols>
  <sheetData>
    <row r="1" spans="1:4" ht="12">
      <c r="A1" t="s">
        <v>39</v>
      </c>
      <c r="B1">
        <f>1.5+3+3+4+1.5+1.5+1.5+1.5+1+3+1</f>
        <v>22.5</v>
      </c>
      <c r="C1">
        <v>11</v>
      </c>
      <c r="D1">
        <f aca="true" t="shared" si="0" ref="D1:D8">(B1+(0.11*(C1-1)))</f>
        <v>23.6</v>
      </c>
    </row>
    <row r="2" spans="1:4" ht="12">
      <c r="A2" s="5" t="s">
        <v>44</v>
      </c>
      <c r="B2">
        <f>1+2+2+1.5+2+4+1+1+1.5+1</f>
        <v>17</v>
      </c>
      <c r="C2">
        <v>10</v>
      </c>
      <c r="D2">
        <f t="shared" si="0"/>
        <v>17.99</v>
      </c>
    </row>
    <row r="3" spans="1:4" ht="12">
      <c r="A3" t="s">
        <v>89</v>
      </c>
      <c r="B3">
        <f>3+4+1+1+1</f>
        <v>10</v>
      </c>
      <c r="C3">
        <v>5</v>
      </c>
      <c r="D3">
        <f t="shared" si="0"/>
        <v>10.44</v>
      </c>
    </row>
    <row r="4" spans="1:4" ht="12">
      <c r="A4" t="s">
        <v>43</v>
      </c>
      <c r="B4">
        <f>1+2+2+4</f>
        <v>9</v>
      </c>
      <c r="C4">
        <v>4</v>
      </c>
      <c r="D4">
        <f t="shared" si="0"/>
        <v>9.33</v>
      </c>
    </row>
    <row r="5" spans="1:4" ht="12">
      <c r="A5" t="s">
        <v>110</v>
      </c>
      <c r="B5">
        <f>4+1.5+1+1</f>
        <v>7.5</v>
      </c>
      <c r="C5">
        <v>4</v>
      </c>
      <c r="D5">
        <f t="shared" si="0"/>
        <v>7.83</v>
      </c>
    </row>
    <row r="6" spans="1:4" ht="12">
      <c r="A6" t="s">
        <v>77</v>
      </c>
      <c r="B6">
        <f>1+2+1+1+1+1</f>
        <v>7</v>
      </c>
      <c r="C6">
        <v>6</v>
      </c>
      <c r="D6">
        <f t="shared" si="0"/>
        <v>7.55</v>
      </c>
    </row>
    <row r="7" spans="1:4" ht="12">
      <c r="A7" t="s">
        <v>100</v>
      </c>
      <c r="B7">
        <f>2</f>
        <v>2</v>
      </c>
      <c r="C7">
        <v>1</v>
      </c>
      <c r="D7">
        <f t="shared" si="0"/>
        <v>2</v>
      </c>
    </row>
    <row r="8" spans="1:4" ht="12">
      <c r="A8" t="s">
        <v>133</v>
      </c>
      <c r="B8">
        <f>1</f>
        <v>1</v>
      </c>
      <c r="C8">
        <v>1</v>
      </c>
      <c r="D8">
        <f t="shared" si="0"/>
        <v>1</v>
      </c>
    </row>
    <row r="9" spans="1:4" ht="12">
      <c r="A9" t="s">
        <v>40</v>
      </c>
      <c r="B9">
        <f>1</f>
        <v>1</v>
      </c>
      <c r="C9">
        <v>1</v>
      </c>
      <c r="D9">
        <f>(B9/3.3+(0.11*(C9-1)))</f>
        <v>0.30303030303030304</v>
      </c>
    </row>
    <row r="10" spans="1:4" ht="12">
      <c r="A10" t="s">
        <v>42</v>
      </c>
      <c r="B10">
        <f>1</f>
        <v>1</v>
      </c>
      <c r="C10">
        <v>1</v>
      </c>
      <c r="D10">
        <f>(B10/3.3+(0.11*(C10-1)))</f>
        <v>0.30303030303030304</v>
      </c>
    </row>
    <row r="11" spans="1:4" ht="12">
      <c r="A11" t="s">
        <v>41</v>
      </c>
      <c r="B11">
        <f>1</f>
        <v>1</v>
      </c>
      <c r="C11">
        <v>1</v>
      </c>
      <c r="D11">
        <f>(B11/3.3+(0.11*(C11-1)))</f>
        <v>0.30303030303030304</v>
      </c>
    </row>
    <row r="12" spans="1:4" ht="12">
      <c r="A12" t="s">
        <v>139</v>
      </c>
      <c r="B12">
        <f>1</f>
        <v>1</v>
      </c>
      <c r="C12">
        <v>1</v>
      </c>
      <c r="D12">
        <f>(B12/3.3+(0.11*(C12-1)))</f>
        <v>0.30303030303030304</v>
      </c>
    </row>
    <row r="13" ht="12">
      <c r="D13">
        <f aca="true" t="shared" si="1" ref="D13:D20">(B13+(0.11*(C13-1)))</f>
        <v>-0.11</v>
      </c>
    </row>
    <row r="14" ht="12">
      <c r="D14">
        <f t="shared" si="1"/>
        <v>-0.11</v>
      </c>
    </row>
    <row r="15" ht="12">
      <c r="D15">
        <f t="shared" si="1"/>
        <v>-0.11</v>
      </c>
    </row>
    <row r="16" ht="12">
      <c r="D16">
        <f t="shared" si="1"/>
        <v>-0.11</v>
      </c>
    </row>
    <row r="17" ht="12">
      <c r="D17">
        <f t="shared" si="1"/>
        <v>-0.11</v>
      </c>
    </row>
    <row r="18" ht="12">
      <c r="D18">
        <f t="shared" si="1"/>
        <v>-0.11</v>
      </c>
    </row>
    <row r="19" ht="12">
      <c r="D19">
        <f t="shared" si="1"/>
        <v>-0.11</v>
      </c>
    </row>
    <row r="20" ht="12">
      <c r="D20">
        <f t="shared" si="1"/>
        <v>-0.11</v>
      </c>
    </row>
    <row r="23" ht="12.7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11.57421875" defaultRowHeight="12.75"/>
  <cols>
    <col min="1" max="1" width="38.421875" style="2" customWidth="1"/>
    <col min="2" max="2" width="9.421875" style="4" bestFit="1" customWidth="1"/>
    <col min="3" max="4" width="9.421875" style="3" bestFit="1" customWidth="1"/>
    <col min="5" max="16384" width="11.421875" style="0" customWidth="1"/>
  </cols>
  <sheetData>
    <row r="1" spans="1:4" ht="12">
      <c r="A1" s="2" t="s">
        <v>90</v>
      </c>
      <c r="B1" s="4">
        <f>3+3+2+4+1+1.5+1.5+1+3</f>
        <v>20</v>
      </c>
      <c r="C1" s="3" t="s">
        <v>136</v>
      </c>
      <c r="D1" s="3">
        <f aca="true" t="shared" si="0" ref="D1:D6">(B1+(0.11*(C1-1)))</f>
        <v>20.88</v>
      </c>
    </row>
    <row r="2" spans="1:4" ht="12">
      <c r="A2" s="2" t="s">
        <v>30</v>
      </c>
      <c r="B2" s="4">
        <f>1+2+2+4+1+1+1+1</f>
        <v>13</v>
      </c>
      <c r="C2" s="3" t="s">
        <v>140</v>
      </c>
      <c r="D2" s="3">
        <f t="shared" si="0"/>
        <v>13.77</v>
      </c>
    </row>
    <row r="3" spans="1:4" ht="13.5" customHeight="1">
      <c r="A3" s="2" t="s">
        <v>37</v>
      </c>
      <c r="B3" s="4">
        <f>1.5+3+3+2+1+1</f>
        <v>11.5</v>
      </c>
      <c r="C3" s="3" t="s">
        <v>121</v>
      </c>
      <c r="D3" s="3">
        <f t="shared" si="0"/>
        <v>12.05</v>
      </c>
    </row>
    <row r="4" spans="1:4" ht="12">
      <c r="A4" s="2" t="s">
        <v>101</v>
      </c>
      <c r="B4" s="4">
        <f>2+2+4+1+1</f>
        <v>10</v>
      </c>
      <c r="C4" s="3" t="s">
        <v>137</v>
      </c>
      <c r="D4" s="3">
        <f t="shared" si="0"/>
        <v>10.44</v>
      </c>
    </row>
    <row r="5" spans="1:4" ht="12">
      <c r="A5" s="2" t="s">
        <v>91</v>
      </c>
      <c r="B5" s="4">
        <f>1.5+4+1.5+1.5+1+0</f>
        <v>9.5</v>
      </c>
      <c r="C5" s="3" t="s">
        <v>121</v>
      </c>
      <c r="D5" s="3">
        <f t="shared" si="0"/>
        <v>10.05</v>
      </c>
    </row>
    <row r="6" spans="1:4" ht="12">
      <c r="A6" s="2" t="s">
        <v>102</v>
      </c>
      <c r="B6" s="4">
        <f>2+4+1+1</f>
        <v>8</v>
      </c>
      <c r="C6" s="3" t="s">
        <v>103</v>
      </c>
      <c r="D6" s="3">
        <f t="shared" si="0"/>
        <v>8.33</v>
      </c>
    </row>
    <row r="7" spans="1:4" ht="12">
      <c r="A7" s="2" t="s">
        <v>87</v>
      </c>
      <c r="B7" s="4">
        <f>2+1.5</f>
        <v>3.5</v>
      </c>
      <c r="C7">
        <v>2</v>
      </c>
      <c r="D7">
        <f>(B7/3.3+(0.11*(C7-1)))</f>
        <v>1.1706060606060606</v>
      </c>
    </row>
    <row r="8" spans="1:4" ht="12">
      <c r="A8" s="2" t="s">
        <v>141</v>
      </c>
      <c r="B8" s="4">
        <f>1</f>
        <v>1</v>
      </c>
      <c r="C8" s="3" t="s">
        <v>31</v>
      </c>
      <c r="D8" s="3">
        <f>(B8+(0.11*(C8-1)))</f>
        <v>1</v>
      </c>
    </row>
    <row r="9" spans="1:4" ht="12">
      <c r="A9" s="2" t="s">
        <v>33</v>
      </c>
      <c r="B9" s="4">
        <f>1</f>
        <v>1</v>
      </c>
      <c r="C9" s="3" t="s">
        <v>31</v>
      </c>
      <c r="D9">
        <f aca="true" t="shared" si="1" ref="D9:D16">(B9/3.3+(0.11*(C9-1)))</f>
        <v>0.30303030303030304</v>
      </c>
    </row>
    <row r="10" spans="1:4" ht="12">
      <c r="A10" s="2" t="s">
        <v>38</v>
      </c>
      <c r="B10" s="4">
        <f>1</f>
        <v>1</v>
      </c>
      <c r="C10" s="3" t="s">
        <v>31</v>
      </c>
      <c r="D10">
        <f t="shared" si="1"/>
        <v>0.30303030303030304</v>
      </c>
    </row>
    <row r="11" spans="1:4" ht="12">
      <c r="A11" s="2" t="s">
        <v>36</v>
      </c>
      <c r="B11" s="4">
        <f>1</f>
        <v>1</v>
      </c>
      <c r="C11" s="3" t="s">
        <v>31</v>
      </c>
      <c r="D11">
        <f t="shared" si="1"/>
        <v>0.30303030303030304</v>
      </c>
    </row>
    <row r="12" spans="1:4" ht="12">
      <c r="A12" s="2" t="s">
        <v>32</v>
      </c>
      <c r="B12" s="4">
        <f>1</f>
        <v>1</v>
      </c>
      <c r="C12" s="3" t="s">
        <v>31</v>
      </c>
      <c r="D12">
        <f t="shared" si="1"/>
        <v>0.30303030303030304</v>
      </c>
    </row>
    <row r="13" spans="1:4" ht="12">
      <c r="A13" s="2" t="s">
        <v>35</v>
      </c>
      <c r="B13" s="4">
        <f>1</f>
        <v>1</v>
      </c>
      <c r="C13" s="3" t="s">
        <v>31</v>
      </c>
      <c r="D13">
        <f t="shared" si="1"/>
        <v>0.30303030303030304</v>
      </c>
    </row>
    <row r="14" spans="1:4" ht="12">
      <c r="A14" s="2" t="s">
        <v>34</v>
      </c>
      <c r="B14" s="4">
        <f>1</f>
        <v>1</v>
      </c>
      <c r="C14" s="3" t="s">
        <v>31</v>
      </c>
      <c r="D14">
        <f t="shared" si="1"/>
        <v>0.30303030303030304</v>
      </c>
    </row>
    <row r="15" spans="1:4" ht="12">
      <c r="A15" s="2" t="s">
        <v>134</v>
      </c>
      <c r="B15" s="4">
        <f>1</f>
        <v>1</v>
      </c>
      <c r="C15" s="3" t="s">
        <v>31</v>
      </c>
      <c r="D15">
        <f t="shared" si="1"/>
        <v>0.30303030303030304</v>
      </c>
    </row>
    <row r="16" spans="1:4" ht="12">
      <c r="A16" s="2" t="s">
        <v>142</v>
      </c>
      <c r="B16" s="4">
        <f>1</f>
        <v>1</v>
      </c>
      <c r="C16" s="3" t="s">
        <v>31</v>
      </c>
      <c r="D16">
        <f t="shared" si="1"/>
        <v>0.30303030303030304</v>
      </c>
    </row>
    <row r="17" ht="12">
      <c r="D17"/>
    </row>
    <row r="18" ht="12">
      <c r="D18"/>
    </row>
    <row r="19" spans="1:4" ht="12">
      <c r="A19"/>
      <c r="B19"/>
      <c r="C19"/>
      <c r="D19"/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11.57421875" defaultRowHeight="12.75"/>
  <cols>
    <col min="1" max="1" width="31.8515625" style="0" customWidth="1"/>
    <col min="2" max="16384" width="11.421875" style="0" customWidth="1"/>
  </cols>
  <sheetData>
    <row r="1" spans="1:5" ht="12">
      <c r="A1" t="s">
        <v>51</v>
      </c>
      <c r="B1">
        <f>1.5+2+1.5+2+1+1+1+4+3+1</f>
        <v>18</v>
      </c>
      <c r="C1">
        <v>10</v>
      </c>
      <c r="D1">
        <v>10</v>
      </c>
      <c r="E1">
        <f aca="true" t="shared" si="0" ref="E1:E13">B1+(0.11*(C1-1))+D1*0.35</f>
        <v>22.49</v>
      </c>
    </row>
    <row r="2" spans="1:5" ht="12">
      <c r="A2" t="s">
        <v>50</v>
      </c>
      <c r="B2">
        <f>1+2+1.5+1.5+1.5+4+1</f>
        <v>12.5</v>
      </c>
      <c r="C2">
        <v>7</v>
      </c>
      <c r="D2">
        <v>10</v>
      </c>
      <c r="E2">
        <f t="shared" si="0"/>
        <v>16.66</v>
      </c>
    </row>
    <row r="3" spans="1:5" ht="12">
      <c r="A3" t="s">
        <v>56</v>
      </c>
      <c r="B3">
        <f>1+3+2+1+1+4+1</f>
        <v>13</v>
      </c>
      <c r="C3">
        <v>7</v>
      </c>
      <c r="D3">
        <v>5</v>
      </c>
      <c r="E3">
        <f t="shared" si="0"/>
        <v>15.41</v>
      </c>
    </row>
    <row r="4" spans="1:5" ht="12">
      <c r="A4" t="s">
        <v>88</v>
      </c>
      <c r="B4">
        <f>1+1+4+1</f>
        <v>7</v>
      </c>
      <c r="C4">
        <v>4</v>
      </c>
      <c r="D4">
        <v>10</v>
      </c>
      <c r="E4">
        <f t="shared" si="0"/>
        <v>10.83</v>
      </c>
    </row>
    <row r="5" spans="1:5" ht="12">
      <c r="A5" t="s">
        <v>83</v>
      </c>
      <c r="B5">
        <f>4+1</f>
        <v>5</v>
      </c>
      <c r="C5">
        <v>2</v>
      </c>
      <c r="D5">
        <v>8</v>
      </c>
      <c r="E5">
        <f t="shared" si="0"/>
        <v>7.91</v>
      </c>
    </row>
    <row r="6" spans="1:5" ht="12">
      <c r="A6" t="s">
        <v>59</v>
      </c>
      <c r="B6">
        <f>4</f>
        <v>4</v>
      </c>
      <c r="C6">
        <v>1</v>
      </c>
      <c r="E6">
        <f t="shared" si="0"/>
        <v>4</v>
      </c>
    </row>
    <row r="7" spans="1:5" ht="12">
      <c r="A7" t="s">
        <v>80</v>
      </c>
      <c r="B7">
        <f>3</f>
        <v>3</v>
      </c>
      <c r="C7">
        <v>1</v>
      </c>
      <c r="E7">
        <f t="shared" si="0"/>
        <v>3</v>
      </c>
    </row>
    <row r="8" spans="1:5" ht="12">
      <c r="A8" t="s">
        <v>114</v>
      </c>
      <c r="B8">
        <f>1.5+1</f>
        <v>2.5</v>
      </c>
      <c r="C8">
        <v>2</v>
      </c>
      <c r="E8">
        <f t="shared" si="0"/>
        <v>2.61</v>
      </c>
    </row>
    <row r="9" spans="1:5" ht="12">
      <c r="A9" t="s">
        <v>115</v>
      </c>
      <c r="B9">
        <f>0.8+0.8</f>
        <v>1.6</v>
      </c>
      <c r="C9">
        <v>2</v>
      </c>
      <c r="D9">
        <v>2</v>
      </c>
      <c r="E9">
        <f t="shared" si="0"/>
        <v>2.41</v>
      </c>
    </row>
    <row r="10" spans="1:5" ht="12">
      <c r="A10" t="s">
        <v>72</v>
      </c>
      <c r="B10">
        <f>1+0.8</f>
        <v>1.8</v>
      </c>
      <c r="C10">
        <v>2</v>
      </c>
      <c r="D10">
        <v>1</v>
      </c>
      <c r="E10">
        <f t="shared" si="0"/>
        <v>2.2600000000000002</v>
      </c>
    </row>
    <row r="11" spans="1:5" ht="12">
      <c r="A11" t="s">
        <v>48</v>
      </c>
      <c r="B11">
        <f>1</f>
        <v>1</v>
      </c>
      <c r="C11">
        <v>1</v>
      </c>
      <c r="E11">
        <f t="shared" si="0"/>
        <v>1</v>
      </c>
    </row>
    <row r="12" spans="1:5" ht="12">
      <c r="A12" t="s">
        <v>73</v>
      </c>
      <c r="B12">
        <f>1</f>
        <v>1</v>
      </c>
      <c r="C12">
        <v>1</v>
      </c>
      <c r="E12">
        <f t="shared" si="0"/>
        <v>1</v>
      </c>
    </row>
    <row r="13" spans="1:5" ht="12">
      <c r="A13" t="s">
        <v>122</v>
      </c>
      <c r="B13">
        <f>1</f>
        <v>1</v>
      </c>
      <c r="C13">
        <v>1</v>
      </c>
      <c r="E13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11.57421875" defaultRowHeight="12.75"/>
  <cols>
    <col min="1" max="1" width="27.28125" style="0" customWidth="1"/>
    <col min="2" max="16384" width="11.421875" style="0" customWidth="1"/>
  </cols>
  <sheetData>
    <row r="1" spans="1:5" ht="12">
      <c r="A1" t="s">
        <v>52</v>
      </c>
      <c r="B1">
        <f>1.5+3+3+3+2+1.5+2+1.5+1.5+1.5+1.5+1.5+4+1.5+3+2+2+1</f>
        <v>37</v>
      </c>
      <c r="C1">
        <v>18</v>
      </c>
      <c r="D1">
        <v>16</v>
      </c>
      <c r="E1">
        <f aca="true" t="shared" si="0" ref="E1:E13">B1+(0.11*(C1-1))+D1*0.35</f>
        <v>44.47</v>
      </c>
    </row>
    <row r="2" spans="1:5" ht="12">
      <c r="A2" t="s">
        <v>45</v>
      </c>
      <c r="B2">
        <f>1+2+1+1+4+1</f>
        <v>10</v>
      </c>
      <c r="C2">
        <v>6</v>
      </c>
      <c r="D2">
        <v>4</v>
      </c>
      <c r="E2">
        <f t="shared" si="0"/>
        <v>11.950000000000001</v>
      </c>
    </row>
    <row r="3" spans="1:5" ht="12">
      <c r="A3" t="s">
        <v>74</v>
      </c>
      <c r="B3">
        <f>1+1+2+1</f>
        <v>5</v>
      </c>
      <c r="C3">
        <v>4</v>
      </c>
      <c r="D3">
        <v>15</v>
      </c>
      <c r="E3">
        <f t="shared" si="0"/>
        <v>10.58</v>
      </c>
    </row>
    <row r="4" spans="1:5" ht="12">
      <c r="A4" t="s">
        <v>85</v>
      </c>
      <c r="B4">
        <f>1+1+4+1</f>
        <v>7</v>
      </c>
      <c r="C4">
        <v>4</v>
      </c>
      <c r="D4">
        <v>7</v>
      </c>
      <c r="E4">
        <f t="shared" si="0"/>
        <v>9.78</v>
      </c>
    </row>
    <row r="5" spans="1:5" ht="12">
      <c r="A5" t="s">
        <v>53</v>
      </c>
      <c r="B5">
        <f>1+4</f>
        <v>5</v>
      </c>
      <c r="C5">
        <v>2</v>
      </c>
      <c r="D5">
        <v>4</v>
      </c>
      <c r="E5">
        <f t="shared" si="0"/>
        <v>6.51</v>
      </c>
    </row>
    <row r="6" spans="1:5" ht="12">
      <c r="A6" t="s">
        <v>54</v>
      </c>
      <c r="B6">
        <f>1+1+1</f>
        <v>3</v>
      </c>
      <c r="C6">
        <v>3</v>
      </c>
      <c r="D6">
        <v>7</v>
      </c>
      <c r="E6">
        <f t="shared" si="0"/>
        <v>5.67</v>
      </c>
    </row>
    <row r="7" spans="1:5" ht="12">
      <c r="A7" t="s">
        <v>76</v>
      </c>
      <c r="B7">
        <f>1+0.8+0.8+2</f>
        <v>4.6</v>
      </c>
      <c r="C7">
        <v>4</v>
      </c>
      <c r="D7">
        <v>2</v>
      </c>
      <c r="E7">
        <f t="shared" si="0"/>
        <v>5.63</v>
      </c>
    </row>
    <row r="8" spans="1:5" ht="12">
      <c r="A8" t="s">
        <v>124</v>
      </c>
      <c r="B8">
        <f>4</f>
        <v>4</v>
      </c>
      <c r="C8">
        <v>1</v>
      </c>
      <c r="E8">
        <f t="shared" si="0"/>
        <v>4</v>
      </c>
    </row>
    <row r="9" spans="1:5" ht="12">
      <c r="A9" t="s">
        <v>61</v>
      </c>
      <c r="B9">
        <f>1+1</f>
        <v>2</v>
      </c>
      <c r="C9">
        <v>2</v>
      </c>
      <c r="E9">
        <f t="shared" si="0"/>
        <v>2.11</v>
      </c>
    </row>
    <row r="10" spans="1:5" ht="12">
      <c r="A10" t="s">
        <v>49</v>
      </c>
      <c r="B10">
        <f>1</f>
        <v>1</v>
      </c>
      <c r="C10">
        <v>1</v>
      </c>
      <c r="D10">
        <v>1</v>
      </c>
      <c r="E10">
        <f t="shared" si="0"/>
        <v>1.35</v>
      </c>
    </row>
    <row r="11" spans="1:5" ht="12">
      <c r="A11" t="s">
        <v>75</v>
      </c>
      <c r="B11">
        <f>1</f>
        <v>1</v>
      </c>
      <c r="C11">
        <v>1</v>
      </c>
      <c r="E11">
        <f t="shared" si="0"/>
        <v>1</v>
      </c>
    </row>
    <row r="12" spans="1:5" ht="12">
      <c r="A12" t="s">
        <v>111</v>
      </c>
      <c r="B12">
        <f>1</f>
        <v>1</v>
      </c>
      <c r="C12">
        <v>1</v>
      </c>
      <c r="E12">
        <f t="shared" si="0"/>
        <v>1</v>
      </c>
    </row>
    <row r="13" ht="12">
      <c r="E13">
        <f t="shared" si="0"/>
        <v>-0.11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Geert Verbanck</cp:lastModifiedBy>
  <cp:lastPrinted>2007-01-30T07:39:05Z</cp:lastPrinted>
  <dcterms:created xsi:type="dcterms:W3CDTF">2000-02-17T17:19:19Z</dcterms:created>
  <dcterms:modified xsi:type="dcterms:W3CDTF">2016-09-15T10:05:15Z</dcterms:modified>
  <cp:category/>
  <cp:version/>
  <cp:contentType/>
  <cp:contentStatus/>
</cp:coreProperties>
</file>