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3345" windowWidth="13485" windowHeight="8355" tabRatio="599" activeTab="0"/>
  </bookViews>
  <sheets>
    <sheet name="Picture" sheetId="1" r:id="rId1"/>
    <sheet name="Director" sheetId="2" r:id="rId2"/>
    <sheet name="Actor" sheetId="3" r:id="rId3"/>
    <sheet name="Actress" sheetId="4" r:id="rId4"/>
    <sheet name="Supp.Actor" sheetId="5" r:id="rId5"/>
    <sheet name="Supp.Actress" sheetId="6" r:id="rId6"/>
    <sheet name="Original" sheetId="7" r:id="rId7"/>
    <sheet name="Adaptation" sheetId="8" r:id="rId8"/>
    <sheet name="0" sheetId="9" r:id="rId9"/>
    <sheet name="00" sheetId="10" r:id="rId10"/>
    <sheet name="000" sheetId="11" r:id="rId11"/>
    <sheet name="0000" sheetId="12" r:id="rId12"/>
    <sheet name="Blad13" sheetId="13" r:id="rId13"/>
    <sheet name="Blad14" sheetId="14" r:id="rId14"/>
    <sheet name="Blad15" sheetId="15" r:id="rId15"/>
    <sheet name="Blad16" sheetId="16" r:id="rId16"/>
  </sheets>
  <definedNames>
    <definedName name="_xlnm.Print_Area" localSheetId="7">'Adaptation'!$A:$E</definedName>
  </definedNames>
  <calcPr fullCalcOnLoad="1"/>
</workbook>
</file>

<file path=xl/sharedStrings.xml><?xml version="1.0" encoding="utf-8"?>
<sst xmlns="http://schemas.openxmlformats.org/spreadsheetml/2006/main" count="196" uniqueCount="156">
  <si>
    <t>James Mangold, Walk the Line</t>
  </si>
  <si>
    <t>Chris Columbus, Rent</t>
  </si>
  <si>
    <t>Bennet Miller, Capote</t>
  </si>
  <si>
    <t>Rob Marshall, Memoirs of a Geisha</t>
  </si>
  <si>
    <t>The Squid and the Whale</t>
  </si>
  <si>
    <t>Good Night and Good Luck</t>
  </si>
  <si>
    <t>Nine Lives</t>
  </si>
  <si>
    <t>Crash</t>
  </si>
  <si>
    <t>Jarhead</t>
  </si>
  <si>
    <t>Down to the Bone</t>
  </si>
  <si>
    <t>David Cronenberg, A History of Violence</t>
  </si>
  <si>
    <t>Terrence Howard, Crash</t>
  </si>
  <si>
    <t>Donald Sutherland, Pride and Prejudice</t>
  </si>
  <si>
    <t>Michelle Williams, Brokeback Mountain</t>
  </si>
  <si>
    <t>Transamerica</t>
  </si>
  <si>
    <t>The 40 Year Old Virgin</t>
  </si>
  <si>
    <t>America Ferrera, The Sisterhood of the Traveling Pants</t>
  </si>
  <si>
    <t>Michelle Monaghan, Kiss Kiss Bang Bang</t>
  </si>
  <si>
    <t>Ziyi Zhang, 2046</t>
  </si>
  <si>
    <t>Fatih Akin, Head On</t>
  </si>
  <si>
    <t>9</t>
  </si>
  <si>
    <t>5</t>
  </si>
  <si>
    <t>Broken Flowers</t>
  </si>
  <si>
    <t>Star Wars Episode III: The Revenge of the Sith</t>
  </si>
  <si>
    <t>Batman Begins</t>
  </si>
  <si>
    <t>Ralph Fiennes, The Constant Gardener</t>
  </si>
  <si>
    <t>Taraji P. Henson, Hustle &amp; Flow</t>
  </si>
  <si>
    <t>Ron Howard, Cinderella Man</t>
  </si>
  <si>
    <t>Mr. &amp; Mrs. Smith</t>
  </si>
  <si>
    <t>The Chronicles of Narnia: The Lion, the Witch and the Wardrobe</t>
  </si>
  <si>
    <t>Ziyi Zhang, Memoirs of a Geisha</t>
  </si>
  <si>
    <t>Steven Spielberg, Munich</t>
  </si>
  <si>
    <t>Munich</t>
  </si>
  <si>
    <t>Russell Crowe, Cinderella Man</t>
  </si>
  <si>
    <t>3</t>
  </si>
  <si>
    <t>Gwyneth Paltrow, Proof</t>
  </si>
  <si>
    <t>Judi Dench, Mrs. Henderson Presents</t>
  </si>
  <si>
    <t>Joan Allen, The Upside of Anger</t>
  </si>
  <si>
    <t>Claire Danes, Shopgirl</t>
  </si>
  <si>
    <t>The Producers</t>
  </si>
  <si>
    <t>Pierce Brosnan, The Matador</t>
  </si>
  <si>
    <t>Jeff Daniels, The Squid and the Whale</t>
  </si>
  <si>
    <t>Johnny Depp, Charlie and the Chocolate Factory</t>
  </si>
  <si>
    <t>Nathan Lane, The Producers</t>
  </si>
  <si>
    <t>Sarah Jessica Parker, The Family Stone</t>
  </si>
  <si>
    <t>George Clooney, Good Night and Good Luck</t>
  </si>
  <si>
    <t>Paul Haggis, Crash</t>
  </si>
  <si>
    <t>Vera Farmiga, Down to the Bone</t>
  </si>
  <si>
    <t>Terrence Howard, Hustle &amp; Flow</t>
  </si>
  <si>
    <t>Bill Murray, Broken Flowers</t>
  </si>
  <si>
    <t>Kevin Costner, The Upside of Anger</t>
  </si>
  <si>
    <t>Joaquin Phoenix, Walk the Line</t>
  </si>
  <si>
    <t>Robert Downey Jr., Kiss Kiss Bang Bang</t>
  </si>
  <si>
    <t>Cillian Murphy, Breakfast on Pluto</t>
  </si>
  <si>
    <t>Frances McDormand, North Country</t>
  </si>
  <si>
    <t>Michael Haneke, Caché</t>
  </si>
  <si>
    <t>Daniel Auteuill, Caché</t>
  </si>
  <si>
    <t>Syriana</t>
  </si>
  <si>
    <t>Duncan Tucker, Transamerica</t>
  </si>
  <si>
    <t>Paradise Now</t>
  </si>
  <si>
    <t>Hany Abu-Assad, Paradise Now</t>
  </si>
  <si>
    <t>Wong Kar Way's 2046</t>
  </si>
  <si>
    <t>Wong Kar Wai, 2046</t>
  </si>
  <si>
    <t>The Constant Gardener</t>
  </si>
  <si>
    <t>Match Point</t>
  </si>
  <si>
    <t>Woody Allen, Match Point</t>
  </si>
  <si>
    <t>Peter Jackson, King Kong</t>
  </si>
  <si>
    <t>Fernando Mereilles, The Constant Gardener</t>
  </si>
  <si>
    <t>Mickey Rourke, Sin City</t>
  </si>
  <si>
    <t>Jake Gyllenhaal, Brokeback Mountain</t>
  </si>
  <si>
    <t>Edward Norton, Kingdom of Heaven</t>
  </si>
  <si>
    <t>Peter Sarsgaard, Jarhead</t>
  </si>
  <si>
    <t>Chris Cooper, Capote</t>
  </si>
  <si>
    <t>Danny Huston, The Constant Gardener</t>
  </si>
  <si>
    <t>Tom Arnold, Happy Endings</t>
  </si>
  <si>
    <t>Steve Coogan, Happy Endings</t>
  </si>
  <si>
    <t>Sin City</t>
  </si>
  <si>
    <t>Charlie and the Chocolate Factory</t>
  </si>
  <si>
    <t>Felicity Huffman, Transamerica</t>
  </si>
  <si>
    <t>Toni Collette, In Her Shoes</t>
  </si>
  <si>
    <t>Noah Baumbach, The Squid and the Whale</t>
  </si>
  <si>
    <t>Stephen Gaghan, Syriana</t>
  </si>
  <si>
    <t>Shane Black, kiss Kiss Bang Bang</t>
  </si>
  <si>
    <t>Mrs. Henderson Presents</t>
  </si>
  <si>
    <t>War of the World</t>
  </si>
  <si>
    <t>Reese Witherspoon, Walk the Line</t>
  </si>
  <si>
    <t>Keira Knightley, Pride &amp; Prejudice</t>
  </si>
  <si>
    <t>Philip Seymour Hoffman, Capote</t>
  </si>
  <si>
    <t>David Strathairn, Good Night and Good Luck</t>
  </si>
  <si>
    <t>Jake Gyllenhaal, Jarhead</t>
  </si>
  <si>
    <t>Tommy Lee Jones, The Three Burials of Melquiades Estrada</t>
  </si>
  <si>
    <t>Heath Ledger, Brokeback Mountain</t>
  </si>
  <si>
    <t>Viggo Mortensen, A History of Violence</t>
  </si>
  <si>
    <t>Will Farell, The Producers</t>
  </si>
  <si>
    <t>Don Cheadle, Crash</t>
  </si>
  <si>
    <t>Craig Brewer, Hustle and Flow</t>
  </si>
  <si>
    <t>North Country</t>
  </si>
  <si>
    <t>Junebug</t>
  </si>
  <si>
    <t>Ed Harris, A History of Violence</t>
  </si>
  <si>
    <t>1</t>
  </si>
  <si>
    <t>William Hurt, A History of Violence</t>
  </si>
  <si>
    <t>Frank Langella, Good Night and Good Luck</t>
  </si>
  <si>
    <t>2</t>
  </si>
  <si>
    <t>Caché</t>
  </si>
  <si>
    <t>A History of Violence</t>
  </si>
  <si>
    <t>Capote</t>
  </si>
  <si>
    <t>Brokeback Mountain</t>
  </si>
  <si>
    <t>Cinderella Man</t>
  </si>
  <si>
    <t>Memoirs of a Geisha</t>
  </si>
  <si>
    <t>Rent</t>
  </si>
  <si>
    <t>Shopgirl</t>
  </si>
  <si>
    <t>Hustle &amp; Flow</t>
  </si>
  <si>
    <t>Happy Endings</t>
  </si>
  <si>
    <t>Walk the Line</t>
  </si>
  <si>
    <t>Kung Fu Hustle</t>
  </si>
  <si>
    <t>Charlize Theron, North Country</t>
  </si>
  <si>
    <t>Julianne Moore, The Prize Winner of Defiance, Ohio</t>
  </si>
  <si>
    <t>Robin Wright Penn, Nine Lives</t>
  </si>
  <si>
    <t>Rachel MacAdams, The Family Stone</t>
  </si>
  <si>
    <t>Scarlett Johannsson, Match Point</t>
  </si>
  <si>
    <t>George Clooney, Syriana</t>
  </si>
  <si>
    <t>Matt Dillon, Crash</t>
  </si>
  <si>
    <t>Paul Giamatti, Cinderella Man</t>
  </si>
  <si>
    <t>Bob Hoskins, Mrs. Henderson Presents</t>
  </si>
  <si>
    <t>Mrs. Hendersen Presents</t>
  </si>
  <si>
    <t>Pride and Prejudice</t>
  </si>
  <si>
    <t>Jason Schwartzman, Shopgirl</t>
  </si>
  <si>
    <t>Val Kilmer, Kiss Kiss Bang Bang</t>
  </si>
  <si>
    <t>Craig T. Nelson, The Family Stone</t>
  </si>
  <si>
    <t>Corbin Bernsen, Kiss Kiss Bang Bang</t>
  </si>
  <si>
    <t>Ang Lee, Brokeback Mountain</t>
  </si>
  <si>
    <t>The Family Stone</t>
  </si>
  <si>
    <t>The Wedding Crashers</t>
  </si>
  <si>
    <t>Pride &amp; Prejudice</t>
  </si>
  <si>
    <t>6</t>
  </si>
  <si>
    <t>Brenda Blethyn, Pride &amp; Prejudice</t>
  </si>
  <si>
    <t>Thandie Newton, Crash</t>
  </si>
  <si>
    <t>Rachel Weisz, The Constant Gardener</t>
  </si>
  <si>
    <t>Mathieu Amalric, Munich</t>
  </si>
  <si>
    <t>Catherine Keener, Capote</t>
  </si>
  <si>
    <t>King Kong</t>
  </si>
  <si>
    <t>Jeffrey Wright, Broken Flowers</t>
  </si>
  <si>
    <t>Kiss Kiss Bang Bang</t>
  </si>
  <si>
    <t>Innocent Voices</t>
  </si>
  <si>
    <t>Luis Mandoki, Innocent Voices</t>
  </si>
  <si>
    <t>Stephen Chow, Kung Fu Hustle</t>
  </si>
  <si>
    <t>Naomi Watts, King Kong</t>
  </si>
  <si>
    <t>Laura Linney, The Squid and the Whale</t>
  </si>
  <si>
    <t>Maria Bello, A History of Violence</t>
  </si>
  <si>
    <t>Gong Li, Memoirs of a Geisha</t>
  </si>
  <si>
    <t>Shirley MacLaine, In Her Shoes</t>
  </si>
  <si>
    <t>Amy Adams, Junebug</t>
  </si>
  <si>
    <t>Qiu Yuen, Kung Fu Hustle</t>
  </si>
  <si>
    <t>Diane Keaton, The Family Stone</t>
  </si>
  <si>
    <t>Rosario Dawson, Rent</t>
  </si>
  <si>
    <t>Head On</t>
  </si>
</sst>
</file>

<file path=xl/styles.xml><?xml version="1.0" encoding="utf-8"?>
<styleSheet xmlns="http://schemas.openxmlformats.org/spreadsheetml/2006/main">
  <numFmts count="6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fl&quot;\ #,##0_-;&quot;fl&quot;\ #,##0\-"/>
    <numFmt numFmtId="197" formatCode="&quot;fl&quot;\ #,##0_-;[Red]&quot;fl&quot;\ #,##0\-"/>
    <numFmt numFmtId="198" formatCode="&quot;fl&quot;\ #,##0.00_-;&quot;fl&quot;\ #,##0.00\-"/>
    <numFmt numFmtId="199" formatCode="&quot;fl&quot;\ #,##0.00_-;[Red]&quot;fl&quot;\ #,##0.00\-"/>
    <numFmt numFmtId="200" formatCode="_-&quot;fl&quot;\ * #,##0_-;_-&quot;fl&quot;\ * #,##0\-;_-&quot;fl&quot;\ * &quot;-&quot;_-;_-@_-"/>
    <numFmt numFmtId="201" formatCode="_-&quot;fl&quot;\ * #,##0.00_-;_-&quot;fl&quot;\ * #,##0.00\-;_-&quot;fl&quot;\ * &quot;-&quot;??_-;_-@_-"/>
    <numFmt numFmtId="202" formatCode="#,##0\ &quot;FB&quot;;\-#,##0\ &quot;FB&quot;"/>
    <numFmt numFmtId="203" formatCode="#,##0\ &quot;FB&quot;;[Red]\-#,##0\ &quot;FB&quot;"/>
    <numFmt numFmtId="204" formatCode="#,##0.00\ &quot;FB&quot;;\-#,##0.00\ &quot;FB&quot;"/>
    <numFmt numFmtId="205" formatCode="#,##0.00\ &quot;FB&quot;;[Red]\-#,##0.00\ &quot;FB&quot;"/>
    <numFmt numFmtId="206" formatCode="_-* #,##0\ &quot;FB&quot;_-;\-* #,##0\ &quot;FB&quot;_-;_-* &quot;-&quot;\ &quot;FB&quot;_-;_-@_-"/>
    <numFmt numFmtId="207" formatCode="_-* #,##0\ _F_B_-;\-* #,##0\ _F_B_-;_-* &quot;-&quot;\ _F_B_-;_-@_-"/>
    <numFmt numFmtId="208" formatCode="_-* #,##0.00\ &quot;FB&quot;_-;\-* #,##0.00\ &quot;FB&quot;_-;_-* &quot;-&quot;??\ &quot;FB&quot;_-;_-@_-"/>
    <numFmt numFmtId="209" formatCode="_-* #,##0.00\ _F_B_-;\-* #,##0.00\ _F_B_-;_-* &quot;-&quot;??\ _F_B_-;_-@_-"/>
    <numFmt numFmtId="210" formatCode="0.000"/>
    <numFmt numFmtId="211" formatCode="0.0000"/>
    <numFmt numFmtId="212" formatCode="0.0"/>
    <numFmt numFmtId="213" formatCode="0.00000"/>
    <numFmt numFmtId="214" formatCode="0.000000"/>
    <numFmt numFmtId="215" formatCode="00000"/>
    <numFmt numFmtId="216" formatCode="&quot;Ja&quot;;&quot;Ja&quot;;&quot;Nee&quot;"/>
    <numFmt numFmtId="217" formatCode="&quot;Waar&quot;;&quot;Waar&quot;;&quot;Niet waar&quot;"/>
    <numFmt numFmtId="218" formatCode="&quot;Aan&quot;;&quot;Aan&quot;;&quot;Uit&quot;"/>
    <numFmt numFmtId="219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175"/>
          <c:w val="0.96775"/>
          <c:h val="0.9365"/>
        </c:manualLayout>
      </c:layout>
      <c:barChart>
        <c:barDir val="col"/>
        <c:grouping val="clustered"/>
        <c:varyColors val="0"/>
        <c:axId val="4033928"/>
        <c:axId val="36305353"/>
      </c:barChart>
      <c:catAx>
        <c:axId val="40339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305353"/>
        <c:crosses val="autoZero"/>
        <c:auto val="0"/>
        <c:lblOffset val="100"/>
        <c:tickLblSkip val="1"/>
        <c:noMultiLvlLbl val="0"/>
      </c:catAx>
      <c:valAx>
        <c:axId val="363053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3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"/>
          <c:w val="0.96825"/>
          <c:h val="0.94"/>
        </c:manualLayout>
      </c:layout>
      <c:barChart>
        <c:barDir val="col"/>
        <c:grouping val="clustered"/>
        <c:varyColors val="0"/>
        <c:axId val="58312722"/>
        <c:axId val="55052451"/>
      </c:bar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52451"/>
        <c:crosses val="autoZero"/>
        <c:auto val="0"/>
        <c:lblOffset val="100"/>
        <c:tickLblSkip val="1"/>
        <c:noMultiLvlLbl val="0"/>
      </c:catAx>
      <c:valAx>
        <c:axId val="550524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12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5"/>
          <c:w val="0.9685"/>
          <c:h val="0.939"/>
        </c:manualLayout>
      </c:layout>
      <c:barChart>
        <c:barDir val="col"/>
        <c:grouping val="clustered"/>
        <c:varyColors val="0"/>
        <c:axId val="25710012"/>
        <c:axId val="30063517"/>
      </c:bar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63517"/>
        <c:crosses val="autoZero"/>
        <c:auto val="0"/>
        <c:lblOffset val="100"/>
        <c:tickLblSkip val="1"/>
        <c:noMultiLvlLbl val="0"/>
      </c:catAx>
      <c:valAx>
        <c:axId val="300635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10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85725</xdr:rowOff>
    </xdr:from>
    <xdr:to>
      <xdr:col>10</xdr:col>
      <xdr:colOff>476250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400050" y="247650"/>
        <a:ext cx="59817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</xdr:row>
      <xdr:rowOff>57150</xdr:rowOff>
    </xdr:from>
    <xdr:to>
      <xdr:col>11</xdr:col>
      <xdr:colOff>76200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466725" y="219075"/>
        <a:ext cx="6105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0</xdr:rowOff>
    </xdr:from>
    <xdr:to>
      <xdr:col>11</xdr:col>
      <xdr:colOff>171450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514350" y="161925"/>
        <a:ext cx="61531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:A5"/>
    </sheetView>
  </sheetViews>
  <sheetFormatPr defaultColWidth="8.8515625" defaultRowHeight="12.75"/>
  <cols>
    <col min="1" max="1" width="32.28125" style="0" customWidth="1"/>
    <col min="2" max="2" width="9.421875" style="0" customWidth="1"/>
    <col min="3" max="3" width="8.7109375" style="0" customWidth="1"/>
    <col min="4" max="4" width="8.8515625" style="0" customWidth="1"/>
    <col min="5" max="5" width="8.421875" style="0" customWidth="1"/>
    <col min="6" max="6" width="9.00390625" style="0" customWidth="1"/>
  </cols>
  <sheetData>
    <row r="1" spans="1:7" ht="12.75">
      <c r="A1" t="s">
        <v>106</v>
      </c>
      <c r="B1">
        <f>1.5+3+1.5+1.5+3+1.5+2+1+1.5+1.5+1.5+1+4+1+2+3+3+1.5+1+3+1.5+1+3+0.8+0.8+0.8+0.8</f>
        <v>47.69999999999999</v>
      </c>
      <c r="C1">
        <v>27</v>
      </c>
      <c r="D1">
        <v>15</v>
      </c>
      <c r="E1">
        <v>9</v>
      </c>
      <c r="F1">
        <v>1</v>
      </c>
      <c r="G1">
        <f aca="true" t="shared" si="0" ref="G1:G43">IF(C1=0,0,IF(AND(F1&gt;0,E1&gt;0),B1+3,B1/2.5)+((C1-1)*0.02)+(D1*0.66)+(E1*0.33))</f>
        <v>64.08999999999999</v>
      </c>
    </row>
    <row r="2" spans="1:7" ht="12.75">
      <c r="A2" t="s">
        <v>105</v>
      </c>
      <c r="B2">
        <f>1+4+1+3+1.5+2+1+1+0.8+0.8</f>
        <v>16.1</v>
      </c>
      <c r="C2">
        <v>10</v>
      </c>
      <c r="D2">
        <v>9</v>
      </c>
      <c r="E2">
        <v>7</v>
      </c>
      <c r="F2">
        <v>1</v>
      </c>
      <c r="G2">
        <f t="shared" si="0"/>
        <v>27.53</v>
      </c>
    </row>
    <row r="3" spans="1:7" ht="12.75">
      <c r="A3" t="s">
        <v>5</v>
      </c>
      <c r="B3">
        <f>3+2+2+1+1+4+1+2+3+1+2+1+0.8+0.8</f>
        <v>24.6</v>
      </c>
      <c r="C3">
        <v>14</v>
      </c>
      <c r="D3">
        <v>11</v>
      </c>
      <c r="E3">
        <v>9</v>
      </c>
      <c r="F3">
        <v>0</v>
      </c>
      <c r="G3">
        <f t="shared" si="0"/>
        <v>20.33</v>
      </c>
    </row>
    <row r="4" spans="1:7" ht="12.75">
      <c r="A4" t="s">
        <v>7</v>
      </c>
      <c r="B4">
        <f>1.5+1+4+1+3+2+1+2+1+0.8+0.8+0.8</f>
        <v>18.900000000000002</v>
      </c>
      <c r="C4">
        <v>12</v>
      </c>
      <c r="D4">
        <v>10</v>
      </c>
      <c r="E4">
        <v>9</v>
      </c>
      <c r="F4">
        <v>0</v>
      </c>
      <c r="G4">
        <f t="shared" si="0"/>
        <v>17.35</v>
      </c>
    </row>
    <row r="5" spans="1:7" ht="12.75">
      <c r="A5" t="s">
        <v>32</v>
      </c>
      <c r="B5">
        <f>1+4+1+2</f>
        <v>8</v>
      </c>
      <c r="C5">
        <v>4</v>
      </c>
      <c r="D5">
        <v>4</v>
      </c>
      <c r="E5">
        <v>2</v>
      </c>
      <c r="F5">
        <v>1</v>
      </c>
      <c r="G5">
        <f t="shared" si="0"/>
        <v>14.360000000000001</v>
      </c>
    </row>
    <row r="6" spans="1:7" ht="12.75">
      <c r="A6" t="s">
        <v>113</v>
      </c>
      <c r="B6">
        <f>1.5+3+4-0.8+1</f>
        <v>8.7</v>
      </c>
      <c r="C6">
        <v>4</v>
      </c>
      <c r="D6">
        <v>5</v>
      </c>
      <c r="E6">
        <v>7</v>
      </c>
      <c r="F6">
        <v>0</v>
      </c>
      <c r="G6">
        <f t="shared" si="0"/>
        <v>9.15</v>
      </c>
    </row>
    <row r="7" spans="1:7" ht="12.75">
      <c r="A7" t="s">
        <v>104</v>
      </c>
      <c r="B7">
        <f>1+2+2+2+1+1+1.5</f>
        <v>10.5</v>
      </c>
      <c r="C7">
        <v>7</v>
      </c>
      <c r="D7">
        <v>6</v>
      </c>
      <c r="E7">
        <v>1</v>
      </c>
      <c r="G7">
        <f t="shared" si="0"/>
        <v>8.610000000000001</v>
      </c>
    </row>
    <row r="8" spans="1:7" ht="12.75">
      <c r="A8" t="s">
        <v>63</v>
      </c>
      <c r="B8">
        <f>2+2+1+1</f>
        <v>6</v>
      </c>
      <c r="C8">
        <v>4</v>
      </c>
      <c r="D8">
        <v>4</v>
      </c>
      <c r="E8">
        <v>4</v>
      </c>
      <c r="G8">
        <f t="shared" si="0"/>
        <v>6.42</v>
      </c>
    </row>
    <row r="9" spans="1:7" ht="12.75">
      <c r="A9" t="s">
        <v>140</v>
      </c>
      <c r="B9">
        <f>1.5+1</f>
        <v>2.5</v>
      </c>
      <c r="C9">
        <v>2</v>
      </c>
      <c r="D9">
        <v>5</v>
      </c>
      <c r="E9">
        <v>3</v>
      </c>
      <c r="G9">
        <f t="shared" si="0"/>
        <v>5.3100000000000005</v>
      </c>
    </row>
    <row r="10" spans="1:7" ht="12.75">
      <c r="A10" t="s">
        <v>108</v>
      </c>
      <c r="B10">
        <f>1+0.8</f>
        <v>1.8</v>
      </c>
      <c r="C10">
        <v>2</v>
      </c>
      <c r="D10">
        <v>2</v>
      </c>
      <c r="E10">
        <v>5</v>
      </c>
      <c r="G10">
        <f t="shared" si="0"/>
        <v>3.71</v>
      </c>
    </row>
    <row r="11" spans="1:7" ht="12.75">
      <c r="A11" t="s">
        <v>57</v>
      </c>
      <c r="B11">
        <f>0.8</f>
        <v>0.8</v>
      </c>
      <c r="C11">
        <v>1</v>
      </c>
      <c r="D11">
        <v>3</v>
      </c>
      <c r="E11">
        <v>4</v>
      </c>
      <c r="G11">
        <f t="shared" si="0"/>
        <v>3.62</v>
      </c>
    </row>
    <row r="12" spans="1:7" ht="12.75">
      <c r="A12" t="s">
        <v>107</v>
      </c>
      <c r="B12">
        <f>1</f>
        <v>1</v>
      </c>
      <c r="C12">
        <v>1</v>
      </c>
      <c r="D12">
        <v>3</v>
      </c>
      <c r="E12">
        <v>3</v>
      </c>
      <c r="G12">
        <f t="shared" si="0"/>
        <v>3.37</v>
      </c>
    </row>
    <row r="13" spans="1:7" ht="12.75">
      <c r="A13" t="s">
        <v>4</v>
      </c>
      <c r="B13">
        <f>0.75+0.8+0.8+0.8+0.8</f>
        <v>3.95</v>
      </c>
      <c r="C13">
        <v>5</v>
      </c>
      <c r="D13">
        <v>1</v>
      </c>
      <c r="E13">
        <v>1</v>
      </c>
      <c r="G13">
        <f t="shared" si="0"/>
        <v>2.6500000000000004</v>
      </c>
    </row>
    <row r="14" spans="1:7" ht="12.75">
      <c r="A14" t="s">
        <v>64</v>
      </c>
      <c r="B14">
        <f>2+1</f>
        <v>3</v>
      </c>
      <c r="C14">
        <v>2</v>
      </c>
      <c r="D14">
        <v>2</v>
      </c>
      <c r="G14">
        <f t="shared" si="0"/>
        <v>2.54</v>
      </c>
    </row>
    <row r="15" spans="1:7" ht="12.75">
      <c r="A15" t="s">
        <v>111</v>
      </c>
      <c r="B15">
        <f>0.375-0.8+3</f>
        <v>2.575</v>
      </c>
      <c r="C15">
        <v>2</v>
      </c>
      <c r="D15">
        <v>1</v>
      </c>
      <c r="E15">
        <v>2</v>
      </c>
      <c r="G15">
        <f t="shared" si="0"/>
        <v>2.37</v>
      </c>
    </row>
    <row r="16" spans="1:7" ht="12.75">
      <c r="A16" t="s">
        <v>103</v>
      </c>
      <c r="B16">
        <f>1.5+0.8+0.8-0.8+0.8</f>
        <v>3.0999999999999996</v>
      </c>
      <c r="C16">
        <v>4</v>
      </c>
      <c r="D16">
        <v>1</v>
      </c>
      <c r="G16">
        <f t="shared" si="0"/>
        <v>1.96</v>
      </c>
    </row>
    <row r="17" spans="1:7" ht="12.75">
      <c r="A17" t="s">
        <v>125</v>
      </c>
      <c r="B17">
        <f>0.75-0.8</f>
        <v>-0.050000000000000044</v>
      </c>
      <c r="C17">
        <v>1</v>
      </c>
      <c r="D17">
        <v>2</v>
      </c>
      <c r="E17">
        <v>1</v>
      </c>
      <c r="G17">
        <f t="shared" si="0"/>
        <v>1.6300000000000001</v>
      </c>
    </row>
    <row r="18" spans="1:7" ht="12.75">
      <c r="A18" t="s">
        <v>124</v>
      </c>
      <c r="B18">
        <f>0.75</f>
        <v>0.75</v>
      </c>
      <c r="C18">
        <v>1</v>
      </c>
      <c r="D18">
        <v>1</v>
      </c>
      <c r="E18">
        <v>1</v>
      </c>
      <c r="G18">
        <f t="shared" si="0"/>
        <v>1.29</v>
      </c>
    </row>
    <row r="19" spans="1:7" ht="12.75">
      <c r="A19" t="s">
        <v>23</v>
      </c>
      <c r="B19">
        <f>1.5</f>
        <v>1.5</v>
      </c>
      <c r="C19">
        <v>1</v>
      </c>
      <c r="E19">
        <v>1</v>
      </c>
      <c r="G19">
        <f t="shared" si="0"/>
        <v>0.9299999999999999</v>
      </c>
    </row>
    <row r="20" spans="1:7" ht="12.75">
      <c r="A20" t="s">
        <v>14</v>
      </c>
      <c r="B20">
        <f>-0.8+1</f>
        <v>0.19999999999999996</v>
      </c>
      <c r="C20">
        <v>1</v>
      </c>
      <c r="E20">
        <v>2</v>
      </c>
      <c r="G20">
        <f t="shared" si="0"/>
        <v>0.74</v>
      </c>
    </row>
    <row r="21" spans="1:7" ht="12.75">
      <c r="A21" t="s">
        <v>15</v>
      </c>
      <c r="B21">
        <f>1</f>
        <v>1</v>
      </c>
      <c r="C21">
        <v>1</v>
      </c>
      <c r="E21">
        <v>1</v>
      </c>
      <c r="G21">
        <f t="shared" si="0"/>
        <v>0.73</v>
      </c>
    </row>
    <row r="22" spans="1:7" ht="12.75">
      <c r="A22" t="s">
        <v>59</v>
      </c>
      <c r="B22">
        <f>0.8+0.8-0.8+0.8</f>
        <v>1.6</v>
      </c>
      <c r="C22">
        <v>3</v>
      </c>
      <c r="G22">
        <f t="shared" si="0"/>
        <v>0.68</v>
      </c>
    </row>
    <row r="23" spans="1:7" ht="12.75">
      <c r="A23" t="s">
        <v>39</v>
      </c>
      <c r="B23">
        <f>0.75-0.8</f>
        <v>-0.050000000000000044</v>
      </c>
      <c r="C23">
        <v>1</v>
      </c>
      <c r="D23">
        <v>1</v>
      </c>
      <c r="G23">
        <f t="shared" si="0"/>
        <v>0.64</v>
      </c>
    </row>
    <row r="24" spans="1:7" ht="12.75">
      <c r="A24" t="s">
        <v>114</v>
      </c>
      <c r="B24">
        <f>0.375+0.8-0.8+0.8</f>
        <v>1.175</v>
      </c>
      <c r="C24">
        <v>3</v>
      </c>
      <c r="G24">
        <f t="shared" si="0"/>
        <v>0.51</v>
      </c>
    </row>
    <row r="25" spans="1:7" ht="12.75">
      <c r="A25" t="s">
        <v>109</v>
      </c>
      <c r="B25">
        <f>1-0.8</f>
        <v>0.19999999999999996</v>
      </c>
      <c r="C25">
        <v>1</v>
      </c>
      <c r="E25">
        <v>1</v>
      </c>
      <c r="G25">
        <f t="shared" si="0"/>
        <v>0.41000000000000003</v>
      </c>
    </row>
    <row r="26" spans="1:7" ht="12.75">
      <c r="A26" t="s">
        <v>110</v>
      </c>
      <c r="B26">
        <f>0.375-0.8</f>
        <v>-0.42500000000000004</v>
      </c>
      <c r="C26">
        <v>1</v>
      </c>
      <c r="E26">
        <v>1</v>
      </c>
      <c r="G26">
        <f t="shared" si="0"/>
        <v>0.16</v>
      </c>
    </row>
    <row r="27" spans="1:7" ht="12.75">
      <c r="A27" t="s">
        <v>24</v>
      </c>
      <c r="B27">
        <f>-0.8</f>
        <v>-0.8</v>
      </c>
      <c r="E27">
        <v>3</v>
      </c>
      <c r="G27">
        <f t="shared" si="0"/>
        <v>0</v>
      </c>
    </row>
    <row r="28" spans="1:7" ht="12.75">
      <c r="A28" t="s">
        <v>77</v>
      </c>
      <c r="B28">
        <f>-0.8</f>
        <v>-0.8</v>
      </c>
      <c r="E28">
        <v>3</v>
      </c>
      <c r="G28">
        <f t="shared" si="0"/>
        <v>0</v>
      </c>
    </row>
    <row r="29" spans="1:7" ht="12.75">
      <c r="A29" t="s">
        <v>96</v>
      </c>
      <c r="B29">
        <f>-0.8</f>
        <v>-0.8</v>
      </c>
      <c r="E29">
        <v>2</v>
      </c>
      <c r="G29">
        <f t="shared" si="0"/>
        <v>0</v>
      </c>
    </row>
    <row r="30" spans="1:7" ht="12.75">
      <c r="A30" t="s">
        <v>8</v>
      </c>
      <c r="E30">
        <v>1</v>
      </c>
      <c r="G30">
        <f t="shared" si="0"/>
        <v>0</v>
      </c>
    </row>
    <row r="31" spans="1:7" ht="12.75">
      <c r="A31" t="s">
        <v>84</v>
      </c>
      <c r="E31">
        <v>1</v>
      </c>
      <c r="G31">
        <f t="shared" si="0"/>
        <v>0</v>
      </c>
    </row>
    <row r="32" spans="1:7" ht="12.75">
      <c r="A32" t="s">
        <v>97</v>
      </c>
      <c r="B32">
        <f>-0.8</f>
        <v>-0.8</v>
      </c>
      <c r="E32">
        <v>1</v>
      </c>
      <c r="G32">
        <f t="shared" si="0"/>
        <v>0</v>
      </c>
    </row>
    <row r="33" spans="1:7" ht="12.75">
      <c r="A33" t="s">
        <v>28</v>
      </c>
      <c r="B33">
        <f>-0.8</f>
        <v>-0.8</v>
      </c>
      <c r="E33">
        <v>1</v>
      </c>
      <c r="G33">
        <f t="shared" si="0"/>
        <v>0</v>
      </c>
    </row>
    <row r="34" spans="1:7" ht="12.75">
      <c r="A34" t="s">
        <v>76</v>
      </c>
      <c r="B34">
        <f>-0.8</f>
        <v>-0.8</v>
      </c>
      <c r="E34">
        <v>1</v>
      </c>
      <c r="G34">
        <f t="shared" si="0"/>
        <v>0</v>
      </c>
    </row>
    <row r="35" spans="1:7" ht="12.75">
      <c r="A35" t="s">
        <v>29</v>
      </c>
      <c r="B35">
        <f>-0.8</f>
        <v>-0.8</v>
      </c>
      <c r="E35">
        <v>1</v>
      </c>
      <c r="G35">
        <f t="shared" si="0"/>
        <v>0</v>
      </c>
    </row>
    <row r="36" spans="1:7" ht="12.75">
      <c r="A36" t="s">
        <v>131</v>
      </c>
      <c r="B36">
        <v>-0.8</v>
      </c>
      <c r="E36">
        <v>1</v>
      </c>
      <c r="G36">
        <f t="shared" si="0"/>
        <v>0</v>
      </c>
    </row>
    <row r="37" spans="1:7" ht="12.75">
      <c r="A37" t="s">
        <v>132</v>
      </c>
      <c r="B37">
        <f>-0.8</f>
        <v>-0.8</v>
      </c>
      <c r="E37">
        <v>1</v>
      </c>
      <c r="G37">
        <f t="shared" si="0"/>
        <v>0</v>
      </c>
    </row>
    <row r="38" spans="1:7" ht="12.75">
      <c r="A38" t="s">
        <v>155</v>
      </c>
      <c r="B38">
        <f>-0.8+0.8</f>
        <v>0</v>
      </c>
      <c r="C38">
        <v>1</v>
      </c>
      <c r="G38">
        <f t="shared" si="0"/>
        <v>0</v>
      </c>
    </row>
    <row r="39" spans="1:7" ht="12.75">
      <c r="A39" t="s">
        <v>61</v>
      </c>
      <c r="B39">
        <f>0.8-0.8</f>
        <v>0</v>
      </c>
      <c r="C39">
        <v>1</v>
      </c>
      <c r="G39">
        <f t="shared" si="0"/>
        <v>0</v>
      </c>
    </row>
    <row r="40" spans="1:7" ht="12.75">
      <c r="A40" t="s">
        <v>143</v>
      </c>
      <c r="B40">
        <f>0.8-0.8</f>
        <v>0</v>
      </c>
      <c r="C40">
        <v>1</v>
      </c>
      <c r="G40">
        <f t="shared" si="0"/>
        <v>0</v>
      </c>
    </row>
    <row r="41" spans="1:7" ht="12.75">
      <c r="A41" t="s">
        <v>142</v>
      </c>
      <c r="B41">
        <f>0.8-0.8</f>
        <v>0</v>
      </c>
      <c r="C41">
        <v>1</v>
      </c>
      <c r="G41">
        <f t="shared" si="0"/>
        <v>0</v>
      </c>
    </row>
    <row r="42" spans="1:7" ht="12.75">
      <c r="A42" t="s">
        <v>9</v>
      </c>
      <c r="B42">
        <f>-0.8</f>
        <v>-0.8</v>
      </c>
      <c r="G42">
        <f t="shared" si="0"/>
        <v>0</v>
      </c>
    </row>
    <row r="43" spans="1:7" ht="12.75">
      <c r="A43" t="s">
        <v>112</v>
      </c>
      <c r="B43">
        <f>0.375-0.8</f>
        <v>-0.42500000000000004</v>
      </c>
      <c r="C43">
        <v>1</v>
      </c>
      <c r="G43">
        <f t="shared" si="0"/>
        <v>-0.17</v>
      </c>
    </row>
    <row r="55" ht="12.75">
      <c r="A55" s="1"/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39.28125" style="0" customWidth="1"/>
  </cols>
  <sheetData>
    <row r="1" spans="1:7" ht="12.75">
      <c r="A1" t="s">
        <v>130</v>
      </c>
      <c r="B1">
        <f>1.5+3+3+3+3+2+2+1.5+1.5+1.5+1+1+1+4+1+3+1+3+1.5+1+0.8+0.8+0.8+0.8</f>
        <v>42.69999999999999</v>
      </c>
      <c r="C1">
        <v>24</v>
      </c>
      <c r="D1">
        <v>11</v>
      </c>
      <c r="E1">
        <v>9</v>
      </c>
      <c r="F1">
        <v>1</v>
      </c>
      <c r="G1">
        <f aca="true" t="shared" si="0" ref="G1:G24">IF((F1&gt;0),B1+3,B1/2.5)+(C1-1)*0.111+D1*0.35+E1*0.222</f>
        <v>54.100999999999985</v>
      </c>
    </row>
    <row r="2" spans="1:7" ht="12.75">
      <c r="A2" t="s">
        <v>2</v>
      </c>
      <c r="B2">
        <f>1+1.5+1+1+4+1+1+1+0.8+0.8</f>
        <v>13.100000000000001</v>
      </c>
      <c r="C2">
        <v>10</v>
      </c>
      <c r="D2">
        <v>6</v>
      </c>
      <c r="E2">
        <v>7</v>
      </c>
      <c r="F2">
        <v>1</v>
      </c>
      <c r="G2">
        <f t="shared" si="0"/>
        <v>20.752999999999997</v>
      </c>
    </row>
    <row r="3" spans="1:7" ht="12.75">
      <c r="A3" t="s">
        <v>31</v>
      </c>
      <c r="B3">
        <f>2+2+1+4+1+2</f>
        <v>12</v>
      </c>
      <c r="C3">
        <v>6</v>
      </c>
      <c r="E3">
        <v>2</v>
      </c>
      <c r="F3">
        <v>1</v>
      </c>
      <c r="G3">
        <f t="shared" si="0"/>
        <v>15.999</v>
      </c>
    </row>
    <row r="4" spans="1:7" ht="12.75">
      <c r="A4" t="s">
        <v>45</v>
      </c>
      <c r="B4">
        <f>1+2+2+1+1+1+4+1+1+2+1+0.8+0.8</f>
        <v>18.6</v>
      </c>
      <c r="C4">
        <v>13</v>
      </c>
      <c r="D4">
        <v>1</v>
      </c>
      <c r="E4">
        <v>9</v>
      </c>
      <c r="F4">
        <v>0</v>
      </c>
      <c r="G4">
        <f t="shared" si="0"/>
        <v>11.12</v>
      </c>
    </row>
    <row r="5" spans="1:7" ht="12.75">
      <c r="A5" t="s">
        <v>46</v>
      </c>
      <c r="B5">
        <f>2+1+2+4+1+1+1+0.8+0.8+0.8</f>
        <v>14.400000000000002</v>
      </c>
      <c r="C5">
        <v>10</v>
      </c>
      <c r="E5">
        <v>9</v>
      </c>
      <c r="F5">
        <v>0</v>
      </c>
      <c r="G5">
        <f t="shared" si="0"/>
        <v>8.757</v>
      </c>
    </row>
    <row r="6" spans="1:7" ht="12.75">
      <c r="A6" t="s">
        <v>10</v>
      </c>
      <c r="B6">
        <f>2+2+1.5+1.5+1.5</f>
        <v>8.5</v>
      </c>
      <c r="C6">
        <v>5</v>
      </c>
      <c r="D6">
        <v>1</v>
      </c>
      <c r="E6">
        <v>1</v>
      </c>
      <c r="G6">
        <f t="shared" si="0"/>
        <v>4.416</v>
      </c>
    </row>
    <row r="7" spans="1:7" ht="12.75">
      <c r="A7" t="s">
        <v>0</v>
      </c>
      <c r="B7">
        <f>1+1-0.8</f>
        <v>1.2</v>
      </c>
      <c r="C7">
        <v>2</v>
      </c>
      <c r="D7">
        <v>6</v>
      </c>
      <c r="E7">
        <v>7</v>
      </c>
      <c r="F7">
        <v>0</v>
      </c>
      <c r="G7">
        <f t="shared" si="0"/>
        <v>4.245</v>
      </c>
    </row>
    <row r="8" spans="1:7" ht="12.75">
      <c r="A8" t="s">
        <v>67</v>
      </c>
      <c r="B8">
        <f>2+2+1+1</f>
        <v>6</v>
      </c>
      <c r="C8">
        <v>4</v>
      </c>
      <c r="E8">
        <v>4</v>
      </c>
      <c r="G8">
        <f t="shared" si="0"/>
        <v>3.621</v>
      </c>
    </row>
    <row r="9" spans="1:7" ht="12.75">
      <c r="A9" t="s">
        <v>66</v>
      </c>
      <c r="B9">
        <f>2+1+1</f>
        <v>4</v>
      </c>
      <c r="C9">
        <v>3</v>
      </c>
      <c r="E9">
        <v>3</v>
      </c>
      <c r="G9">
        <f t="shared" si="0"/>
        <v>2.488</v>
      </c>
    </row>
    <row r="10" spans="1:7" ht="12.75">
      <c r="A10" t="s">
        <v>3</v>
      </c>
      <c r="B10">
        <f>1+0.8</f>
        <v>1.8</v>
      </c>
      <c r="C10">
        <v>2</v>
      </c>
      <c r="E10">
        <v>5</v>
      </c>
      <c r="G10">
        <f t="shared" si="0"/>
        <v>1.941</v>
      </c>
    </row>
    <row r="11" spans="1:7" ht="12.75">
      <c r="A11" t="s">
        <v>80</v>
      </c>
      <c r="B11">
        <f>0.8+0.8+0.8+0.8</f>
        <v>3.2</v>
      </c>
      <c r="C11">
        <v>4</v>
      </c>
      <c r="E11">
        <v>1</v>
      </c>
      <c r="G11">
        <f t="shared" si="0"/>
        <v>1.835</v>
      </c>
    </row>
    <row r="12" spans="1:7" ht="12.75">
      <c r="A12" t="s">
        <v>65</v>
      </c>
      <c r="B12">
        <f>2+2</f>
        <v>4</v>
      </c>
      <c r="C12">
        <v>2</v>
      </c>
      <c r="G12">
        <f t="shared" si="0"/>
        <v>1.711</v>
      </c>
    </row>
    <row r="13" spans="1:7" ht="12.75">
      <c r="A13" t="s">
        <v>55</v>
      </c>
      <c r="B13">
        <f>1.5+0.8+0.8-0.8+0.8</f>
        <v>3.0999999999999996</v>
      </c>
      <c r="C13">
        <v>4</v>
      </c>
      <c r="G13">
        <f t="shared" si="0"/>
        <v>1.5729999999999997</v>
      </c>
    </row>
    <row r="14" spans="1:7" ht="12.75">
      <c r="A14" t="s">
        <v>58</v>
      </c>
      <c r="B14">
        <f>-0.8+1</f>
        <v>0.19999999999999996</v>
      </c>
      <c r="C14">
        <v>2</v>
      </c>
      <c r="D14">
        <v>2</v>
      </c>
      <c r="E14">
        <v>2</v>
      </c>
      <c r="G14">
        <f t="shared" si="0"/>
        <v>1.335</v>
      </c>
    </row>
    <row r="15" spans="1:7" ht="12.75">
      <c r="A15" t="s">
        <v>81</v>
      </c>
      <c r="B15">
        <f>0.8</f>
        <v>0.8</v>
      </c>
      <c r="C15">
        <v>1</v>
      </c>
      <c r="E15">
        <v>4</v>
      </c>
      <c r="G15">
        <f t="shared" si="0"/>
        <v>1.208</v>
      </c>
    </row>
    <row r="16" spans="1:7" ht="12.75">
      <c r="A16" t="s">
        <v>27</v>
      </c>
      <c r="B16">
        <f>1</f>
        <v>1</v>
      </c>
      <c r="C16">
        <v>1</v>
      </c>
      <c r="E16">
        <v>3</v>
      </c>
      <c r="G16">
        <f t="shared" si="0"/>
        <v>1.066</v>
      </c>
    </row>
    <row r="17" spans="1:7" ht="12.75">
      <c r="A17" t="s">
        <v>60</v>
      </c>
      <c r="B17">
        <f>0.8+0.8-0.8+0.8</f>
        <v>1.6</v>
      </c>
      <c r="C17">
        <v>3</v>
      </c>
      <c r="G17">
        <f t="shared" si="0"/>
        <v>0.862</v>
      </c>
    </row>
    <row r="18" spans="1:7" ht="12.75">
      <c r="A18" t="s">
        <v>95</v>
      </c>
      <c r="B18">
        <f>1-0.8</f>
        <v>0.19999999999999996</v>
      </c>
      <c r="C18">
        <v>1</v>
      </c>
      <c r="E18">
        <v>2</v>
      </c>
      <c r="G18">
        <f t="shared" si="0"/>
        <v>0.524</v>
      </c>
    </row>
    <row r="19" spans="1:7" ht="12.75">
      <c r="A19" t="s">
        <v>62</v>
      </c>
      <c r="B19">
        <f>0.8-0.8+1</f>
        <v>1</v>
      </c>
      <c r="C19">
        <v>2</v>
      </c>
      <c r="G19">
        <f t="shared" si="0"/>
        <v>0.511</v>
      </c>
    </row>
    <row r="20" spans="1:7" ht="12.75">
      <c r="A20" t="s">
        <v>145</v>
      </c>
      <c r="B20">
        <f>0.8-0.8+0.8</f>
        <v>0.8</v>
      </c>
      <c r="C20">
        <v>2</v>
      </c>
      <c r="G20">
        <f t="shared" si="0"/>
        <v>0.431</v>
      </c>
    </row>
    <row r="21" spans="1:7" ht="12.75">
      <c r="A21" t="s">
        <v>1</v>
      </c>
      <c r="B21">
        <f>1-0.8</f>
        <v>0.19999999999999996</v>
      </c>
      <c r="C21">
        <v>1</v>
      </c>
      <c r="E21">
        <v>1</v>
      </c>
      <c r="G21">
        <f t="shared" si="0"/>
        <v>0.302</v>
      </c>
    </row>
    <row r="22" spans="1:7" ht="12.75">
      <c r="A22" t="s">
        <v>19</v>
      </c>
      <c r="B22">
        <f>-0.8+0.8</f>
        <v>0</v>
      </c>
      <c r="C22">
        <v>1</v>
      </c>
      <c r="G22">
        <f t="shared" si="0"/>
        <v>0</v>
      </c>
    </row>
    <row r="23" spans="1:7" ht="12.75">
      <c r="A23" t="s">
        <v>144</v>
      </c>
      <c r="B23">
        <f>0.8-0.8</f>
        <v>0</v>
      </c>
      <c r="C23">
        <v>1</v>
      </c>
      <c r="G23">
        <f t="shared" si="0"/>
        <v>0</v>
      </c>
    </row>
    <row r="24" spans="1:7" ht="12.75">
      <c r="A24" t="s">
        <v>82</v>
      </c>
      <c r="B24">
        <f>0.8-0.8</f>
        <v>0</v>
      </c>
      <c r="C24">
        <v>1</v>
      </c>
      <c r="G24">
        <f t="shared" si="0"/>
        <v>0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39.7109375" style="0" customWidth="1"/>
  </cols>
  <sheetData>
    <row r="1" spans="1:4" ht="12.75">
      <c r="A1" t="s">
        <v>87</v>
      </c>
      <c r="B1">
        <f>1.5+3+3+2+3+1.5+1.5+1.5+1.5+1.5+4+1.5+3+1.5+1</f>
        <v>31</v>
      </c>
      <c r="C1">
        <v>15</v>
      </c>
      <c r="D1">
        <f aca="true" t="shared" si="0" ref="D1:D13">B1+(0.11*(C1-1))</f>
        <v>32.54</v>
      </c>
    </row>
    <row r="2" spans="1:4" ht="12.75">
      <c r="A2" t="s">
        <v>91</v>
      </c>
      <c r="B2">
        <f>1+2+3+2+1+4+1+1</f>
        <v>15</v>
      </c>
      <c r="C2">
        <v>8</v>
      </c>
      <c r="D2">
        <f t="shared" si="0"/>
        <v>15.77</v>
      </c>
    </row>
    <row r="3" spans="1:4" ht="12.75">
      <c r="A3" t="s">
        <v>88</v>
      </c>
      <c r="B3">
        <f>1+2+1+4+1+1</f>
        <v>10</v>
      </c>
      <c r="C3">
        <v>6</v>
      </c>
      <c r="D3">
        <f t="shared" si="0"/>
        <v>10.55</v>
      </c>
    </row>
    <row r="4" spans="1:4" ht="12.75">
      <c r="A4" t="s">
        <v>51</v>
      </c>
      <c r="B4">
        <f>1+1+1+4+1+1</f>
        <v>9</v>
      </c>
      <c r="C4">
        <v>6</v>
      </c>
      <c r="D4">
        <f t="shared" si="0"/>
        <v>9.55</v>
      </c>
    </row>
    <row r="5" spans="1:4" ht="12.75">
      <c r="A5" t="s">
        <v>33</v>
      </c>
      <c r="B5">
        <f>2+2+4</f>
        <v>8</v>
      </c>
      <c r="C5">
        <v>3</v>
      </c>
      <c r="D5">
        <f t="shared" si="0"/>
        <v>8.22</v>
      </c>
    </row>
    <row r="6" spans="1:4" ht="12.75">
      <c r="A6" t="s">
        <v>48</v>
      </c>
      <c r="B6">
        <f>0.8+2+1+1</f>
        <v>4.8</v>
      </c>
      <c r="C6">
        <v>4</v>
      </c>
      <c r="D6">
        <f t="shared" si="0"/>
        <v>5.13</v>
      </c>
    </row>
    <row r="7" spans="1:4" ht="12.75">
      <c r="A7" t="s">
        <v>25</v>
      </c>
      <c r="B7">
        <f>1+1</f>
        <v>2</v>
      </c>
      <c r="C7">
        <v>2</v>
      </c>
      <c r="D7">
        <f t="shared" si="0"/>
        <v>2.11</v>
      </c>
    </row>
    <row r="8" spans="1:4" ht="12.75">
      <c r="A8" t="s">
        <v>41</v>
      </c>
      <c r="B8">
        <f>0.75+1</f>
        <v>1.75</v>
      </c>
      <c r="C8">
        <v>2</v>
      </c>
      <c r="D8">
        <f t="shared" si="0"/>
        <v>1.86</v>
      </c>
    </row>
    <row r="9" spans="1:4" ht="12.75">
      <c r="A9" t="s">
        <v>53</v>
      </c>
      <c r="B9">
        <f>0.375+0.75</f>
        <v>1.125</v>
      </c>
      <c r="C9">
        <v>2</v>
      </c>
      <c r="D9">
        <f t="shared" si="0"/>
        <v>1.235</v>
      </c>
    </row>
    <row r="10" spans="1:4" ht="12.75">
      <c r="A10" t="s">
        <v>90</v>
      </c>
      <c r="B10">
        <f>1</f>
        <v>1</v>
      </c>
      <c r="C10">
        <v>1</v>
      </c>
      <c r="D10">
        <f t="shared" si="0"/>
        <v>1</v>
      </c>
    </row>
    <row r="11" spans="1:4" ht="12.75">
      <c r="A11" t="s">
        <v>42</v>
      </c>
      <c r="B11">
        <f>0.75</f>
        <v>0.75</v>
      </c>
      <c r="C11">
        <v>1</v>
      </c>
      <c r="D11">
        <f t="shared" si="0"/>
        <v>0.75</v>
      </c>
    </row>
    <row r="12" spans="1:4" ht="12.75">
      <c r="A12" t="s">
        <v>43</v>
      </c>
      <c r="B12">
        <f>0.75</f>
        <v>0.75</v>
      </c>
      <c r="C12">
        <v>1</v>
      </c>
      <c r="D12">
        <f t="shared" si="0"/>
        <v>0.75</v>
      </c>
    </row>
    <row r="13" spans="1:4" ht="12.75">
      <c r="A13" t="s">
        <v>40</v>
      </c>
      <c r="B13">
        <f>0.75</f>
        <v>0.75</v>
      </c>
      <c r="C13">
        <v>1</v>
      </c>
      <c r="D13">
        <f t="shared" si="0"/>
        <v>0.75</v>
      </c>
    </row>
    <row r="14" spans="1:4" ht="12.75">
      <c r="A14" t="s">
        <v>56</v>
      </c>
      <c r="B14">
        <f>1.5</f>
        <v>1.5</v>
      </c>
      <c r="C14">
        <v>1</v>
      </c>
      <c r="D14">
        <f>B14/3.3+(0.11*(C14-1))</f>
        <v>0.4545454545454546</v>
      </c>
    </row>
    <row r="15" spans="1:4" ht="12.75">
      <c r="A15" t="s">
        <v>49</v>
      </c>
      <c r="B15">
        <f>0.375</f>
        <v>0.375</v>
      </c>
      <c r="C15">
        <v>1</v>
      </c>
      <c r="D15">
        <f>B15+(0.11*(C15-1))</f>
        <v>0.375</v>
      </c>
    </row>
    <row r="16" spans="1:4" ht="12.75">
      <c r="A16" t="s">
        <v>50</v>
      </c>
      <c r="B16">
        <f>0.375</f>
        <v>0.375</v>
      </c>
      <c r="C16">
        <v>1</v>
      </c>
      <c r="D16">
        <f>B16+(0.11*(C16-1))</f>
        <v>0.375</v>
      </c>
    </row>
    <row r="17" spans="1:4" ht="12.75">
      <c r="A17" t="s">
        <v>52</v>
      </c>
      <c r="B17">
        <f>0.375</f>
        <v>0.375</v>
      </c>
      <c r="C17">
        <v>1</v>
      </c>
      <c r="D17">
        <f>B17+(0.11*(C17-1))</f>
        <v>0.375</v>
      </c>
    </row>
    <row r="18" spans="1:4" ht="12.75">
      <c r="A18" t="s">
        <v>89</v>
      </c>
      <c r="B18">
        <f>1</f>
        <v>1</v>
      </c>
      <c r="C18">
        <v>1</v>
      </c>
      <c r="D18">
        <f>B18/3.3+(0.11*(C18-1))</f>
        <v>0.30303030303030304</v>
      </c>
    </row>
    <row r="19" spans="1:4" ht="12.75">
      <c r="A19" t="s">
        <v>92</v>
      </c>
      <c r="B19">
        <f>1</f>
        <v>1</v>
      </c>
      <c r="C19">
        <v>1</v>
      </c>
      <c r="D19">
        <f>B19/3.3+(0.11*(C19-1))</f>
        <v>0.30303030303030304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40.140625" style="0" customWidth="1"/>
    <col min="2" max="3" width="8.8515625" style="0" customWidth="1"/>
    <col min="4" max="4" width="9.28125" style="0" customWidth="1"/>
  </cols>
  <sheetData>
    <row r="1" spans="1:4" ht="12.75">
      <c r="A1" t="s">
        <v>85</v>
      </c>
      <c r="B1">
        <f>1.5+3+1+1.5+1+4+1.5+3+1.5+1</f>
        <v>19</v>
      </c>
      <c r="C1">
        <v>10</v>
      </c>
      <c r="D1">
        <f aca="true" t="shared" si="0" ref="D1:D11">B1+(0.11*(C1-1))</f>
        <v>19.99</v>
      </c>
    </row>
    <row r="2" spans="1:4" ht="12.75">
      <c r="A2" t="s">
        <v>78</v>
      </c>
      <c r="B2">
        <f>1.5+3+3+1.5+1.5+1+4+1</f>
        <v>16.5</v>
      </c>
      <c r="C2">
        <v>8</v>
      </c>
      <c r="D2">
        <f t="shared" si="0"/>
        <v>17.27</v>
      </c>
    </row>
    <row r="3" spans="1:4" ht="12.75">
      <c r="A3" t="s">
        <v>36</v>
      </c>
      <c r="B3">
        <f>0.375+2+2+0.75+4+1</f>
        <v>10.125</v>
      </c>
      <c r="C3">
        <v>6</v>
      </c>
      <c r="D3">
        <f t="shared" si="0"/>
        <v>10.675</v>
      </c>
    </row>
    <row r="4" spans="1:4" ht="12.75">
      <c r="A4" t="s">
        <v>115</v>
      </c>
      <c r="B4">
        <f>1+2+2+4+1</f>
        <v>10</v>
      </c>
      <c r="C4">
        <v>5</v>
      </c>
      <c r="D4">
        <f t="shared" si="0"/>
        <v>10.44</v>
      </c>
    </row>
    <row r="5" spans="1:4" ht="12.75">
      <c r="A5" t="s">
        <v>30</v>
      </c>
      <c r="B5">
        <f>1+2+4+1</f>
        <v>8</v>
      </c>
      <c r="C5">
        <v>4</v>
      </c>
      <c r="D5">
        <f t="shared" si="0"/>
        <v>8.33</v>
      </c>
    </row>
    <row r="6" spans="1:4" ht="12.75">
      <c r="A6" t="s">
        <v>37</v>
      </c>
      <c r="B6">
        <f>0.375+1.5+1.5+1</f>
        <v>4.375</v>
      </c>
      <c r="C6">
        <v>4</v>
      </c>
      <c r="D6">
        <f t="shared" si="0"/>
        <v>4.705</v>
      </c>
    </row>
    <row r="7" spans="1:4" ht="12.75">
      <c r="A7" t="s">
        <v>86</v>
      </c>
      <c r="B7">
        <f>0.375+0.75+1+1+1</f>
        <v>4.125</v>
      </c>
      <c r="C7">
        <v>5</v>
      </c>
      <c r="D7">
        <f t="shared" si="0"/>
        <v>4.565</v>
      </c>
    </row>
    <row r="8" spans="1:4" ht="12.75">
      <c r="A8" t="s">
        <v>146</v>
      </c>
      <c r="B8">
        <f>1+1</f>
        <v>2</v>
      </c>
      <c r="C8">
        <v>2</v>
      </c>
      <c r="D8">
        <f t="shared" si="0"/>
        <v>2.11</v>
      </c>
    </row>
    <row r="9" spans="1:4" ht="12.75">
      <c r="A9" t="s">
        <v>35</v>
      </c>
      <c r="B9">
        <f>2</f>
        <v>2</v>
      </c>
      <c r="C9">
        <v>1</v>
      </c>
      <c r="D9">
        <f t="shared" si="0"/>
        <v>2</v>
      </c>
    </row>
    <row r="10" spans="1:4" ht="12.75">
      <c r="A10" t="s">
        <v>116</v>
      </c>
      <c r="B10">
        <f>1</f>
        <v>1</v>
      </c>
      <c r="C10">
        <v>1</v>
      </c>
      <c r="D10">
        <f t="shared" si="0"/>
        <v>1</v>
      </c>
    </row>
    <row r="11" spans="1:4" ht="12.75">
      <c r="A11" t="s">
        <v>79</v>
      </c>
      <c r="B11">
        <f>1</f>
        <v>1</v>
      </c>
      <c r="C11">
        <v>1</v>
      </c>
      <c r="D11">
        <f t="shared" si="0"/>
        <v>1</v>
      </c>
    </row>
    <row r="12" spans="1:4" ht="12.75">
      <c r="A12" t="s">
        <v>47</v>
      </c>
      <c r="B12">
        <f>3</f>
        <v>3</v>
      </c>
      <c r="C12">
        <v>1</v>
      </c>
      <c r="D12">
        <f>B12/3.3+(0.11*(C12-1))</f>
        <v>0.9090909090909092</v>
      </c>
    </row>
    <row r="13" spans="1:4" ht="12.75">
      <c r="A13" t="s">
        <v>44</v>
      </c>
      <c r="B13">
        <f>0.75</f>
        <v>0.75</v>
      </c>
      <c r="C13">
        <v>1</v>
      </c>
      <c r="D13">
        <f>B13+(0.11*(C13-1))</f>
        <v>0.75</v>
      </c>
    </row>
    <row r="14" spans="1:4" ht="12.75">
      <c r="A14" t="s">
        <v>117</v>
      </c>
      <c r="B14">
        <f>1</f>
        <v>1</v>
      </c>
      <c r="C14">
        <v>1</v>
      </c>
      <c r="D14">
        <f>B14/3.3+(0.11*(C14-1))</f>
        <v>0.30303030303030304</v>
      </c>
    </row>
    <row r="15" spans="1:4" ht="12.75">
      <c r="A15" t="s">
        <v>38</v>
      </c>
      <c r="B15">
        <f>0.375</f>
        <v>0.375</v>
      </c>
      <c r="C15">
        <v>1</v>
      </c>
      <c r="D15">
        <f>B15/3.3+(0.11*(C15-1))</f>
        <v>0.11363636363636365</v>
      </c>
    </row>
    <row r="16" ht="12.75">
      <c r="D16">
        <f>B16+(0.11*(C16-1))</f>
        <v>-0.11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38.421875" style="0" customWidth="1"/>
  </cols>
  <sheetData>
    <row r="1" spans="1:4" ht="12.75">
      <c r="A1" t="s">
        <v>122</v>
      </c>
      <c r="B1">
        <f>2+1.5+1.5+1+4+1</f>
        <v>11</v>
      </c>
      <c r="C1">
        <v>6</v>
      </c>
      <c r="D1">
        <f>(B1+(0.11*(C1-1)))</f>
        <v>11.55</v>
      </c>
    </row>
    <row r="2" spans="1:4" ht="12.75">
      <c r="A2" t="s">
        <v>121</v>
      </c>
      <c r="B2">
        <f>2+1.5+1+4+1+1</f>
        <v>10.5</v>
      </c>
      <c r="C2">
        <v>5</v>
      </c>
      <c r="D2">
        <f>(B2+(0.11*(C2-1)))</f>
        <v>10.94</v>
      </c>
    </row>
    <row r="3" spans="1:4" ht="12.75">
      <c r="A3" t="s">
        <v>69</v>
      </c>
      <c r="B3">
        <f>1+3+1+4+1</f>
        <v>10</v>
      </c>
      <c r="C3">
        <v>5</v>
      </c>
      <c r="D3">
        <f>(B3+(0.11*(C3-1)))</f>
        <v>10.44</v>
      </c>
    </row>
    <row r="4" spans="1:4" ht="12.75">
      <c r="A4" t="s">
        <v>100</v>
      </c>
      <c r="B4">
        <f>3+2+3+1</f>
        <v>9</v>
      </c>
      <c r="C4">
        <v>4</v>
      </c>
      <c r="D4">
        <f>(B4+(0.11*(C4-1)))</f>
        <v>9.33</v>
      </c>
    </row>
    <row r="5" spans="1:4" ht="12.75">
      <c r="A5" t="s">
        <v>120</v>
      </c>
      <c r="B5">
        <f>3+4+1</f>
        <v>8</v>
      </c>
      <c r="C5">
        <v>3</v>
      </c>
      <c r="D5">
        <f>(B5+(0.11*(C5-1)))</f>
        <v>8.22</v>
      </c>
    </row>
    <row r="6" spans="1:4" ht="12.75">
      <c r="A6" t="s">
        <v>94</v>
      </c>
      <c r="B6">
        <f>4+1</f>
        <v>5</v>
      </c>
      <c r="C6">
        <v>2</v>
      </c>
      <c r="D6">
        <f>(B6+(0.11*(C6-1)))</f>
        <v>5.11</v>
      </c>
    </row>
    <row r="7" spans="1:4" ht="12.75">
      <c r="A7" t="s">
        <v>123</v>
      </c>
      <c r="B7">
        <f>2+2</f>
        <v>4</v>
      </c>
      <c r="C7">
        <v>2</v>
      </c>
      <c r="D7">
        <f>(B7+(0.11*(C7-1)))</f>
        <v>4.11</v>
      </c>
    </row>
    <row r="8" spans="1:4" ht="12.75">
      <c r="A8" t="s">
        <v>101</v>
      </c>
      <c r="B8">
        <f>2+1</f>
        <v>3</v>
      </c>
      <c r="C8">
        <v>2</v>
      </c>
      <c r="D8">
        <f>(B8+(0.11*(C8-1)))</f>
        <v>3.11</v>
      </c>
    </row>
    <row r="9" spans="1:4" ht="12.75">
      <c r="A9" t="s">
        <v>93</v>
      </c>
      <c r="B9">
        <f>2</f>
        <v>2</v>
      </c>
      <c r="C9">
        <v>1</v>
      </c>
      <c r="D9">
        <f>(B9+(0.11*(C9-1)))</f>
        <v>2</v>
      </c>
    </row>
    <row r="10" spans="1:4" ht="12.75">
      <c r="A10" t="s">
        <v>68</v>
      </c>
      <c r="B10">
        <f>1+1.5+1.5</f>
        <v>4</v>
      </c>
      <c r="C10">
        <v>3</v>
      </c>
      <c r="D10">
        <f>(B10/3.3+(0.11*(C10-1)))</f>
        <v>1.4321212121212121</v>
      </c>
    </row>
    <row r="11" spans="1:4" ht="12.75">
      <c r="A11" t="s">
        <v>72</v>
      </c>
      <c r="B11">
        <f>1</f>
        <v>1</v>
      </c>
      <c r="C11">
        <v>1</v>
      </c>
      <c r="D11">
        <f>(B11+(0.11*(C11-1)))</f>
        <v>1</v>
      </c>
    </row>
    <row r="12" spans="1:4" ht="12.75">
      <c r="A12" t="s">
        <v>45</v>
      </c>
      <c r="B12">
        <f>1</f>
        <v>1</v>
      </c>
      <c r="C12">
        <v>1</v>
      </c>
      <c r="D12">
        <f>(B12+(0.11*(C12-1)))</f>
        <v>1</v>
      </c>
    </row>
    <row r="13" spans="1:4" ht="12.75">
      <c r="A13" t="s">
        <v>11</v>
      </c>
      <c r="B13">
        <f>1</f>
        <v>1</v>
      </c>
      <c r="C13">
        <v>1</v>
      </c>
      <c r="D13">
        <f>(B13+(0.11*(C13-1)))</f>
        <v>1</v>
      </c>
    </row>
    <row r="14" spans="1:4" ht="12.75">
      <c r="A14" t="s">
        <v>12</v>
      </c>
      <c r="B14">
        <f>1+1</f>
        <v>2</v>
      </c>
      <c r="C14">
        <v>2</v>
      </c>
      <c r="D14">
        <f>(B14/3.3+(0.11*(C14-1)))</f>
        <v>0.7160606060606061</v>
      </c>
    </row>
    <row r="15" spans="1:4" ht="12.75">
      <c r="A15" t="s">
        <v>138</v>
      </c>
      <c r="B15">
        <f>2</f>
        <v>2</v>
      </c>
      <c r="C15">
        <v>1</v>
      </c>
      <c r="D15">
        <f>(B15/3.3+(0.11*(C15-1)))</f>
        <v>0.6060606060606061</v>
      </c>
    </row>
    <row r="16" spans="1:4" ht="12.75">
      <c r="A16" t="s">
        <v>73</v>
      </c>
      <c r="B16">
        <f>1.5</f>
        <v>1.5</v>
      </c>
      <c r="C16">
        <v>1</v>
      </c>
      <c r="D16">
        <f>(B16/3.3+(0.11*(C16-1)))</f>
        <v>0.4545454545454546</v>
      </c>
    </row>
    <row r="17" spans="1:4" ht="12.75">
      <c r="A17" t="s">
        <v>98</v>
      </c>
      <c r="B17">
        <f>1.5</f>
        <v>1.5</v>
      </c>
      <c r="C17">
        <v>1</v>
      </c>
      <c r="D17">
        <f>(B17/3.3+(0.11*(C17-1)))</f>
        <v>0.4545454545454546</v>
      </c>
    </row>
    <row r="18" spans="1:4" ht="12.75">
      <c r="A18" t="s">
        <v>141</v>
      </c>
      <c r="B18">
        <f>1.5</f>
        <v>1.5</v>
      </c>
      <c r="C18">
        <v>1</v>
      </c>
      <c r="D18">
        <f>(B18/3.3+(0.11*(C18-1)))</f>
        <v>0.4545454545454546</v>
      </c>
    </row>
    <row r="19" spans="1:4" ht="12.75">
      <c r="A19" t="s">
        <v>70</v>
      </c>
      <c r="B19">
        <f>1</f>
        <v>1</v>
      </c>
      <c r="C19">
        <v>1</v>
      </c>
      <c r="D19">
        <f>(B19/3.3+(0.11*(C19-1)))</f>
        <v>0.30303030303030304</v>
      </c>
    </row>
    <row r="20" spans="1:4" ht="12.75">
      <c r="A20" t="s">
        <v>71</v>
      </c>
      <c r="B20">
        <f>1</f>
        <v>1</v>
      </c>
      <c r="C20">
        <v>1</v>
      </c>
      <c r="D20">
        <f>(B20/3.3+(0.11*(C20-1)))</f>
        <v>0.30303030303030304</v>
      </c>
    </row>
    <row r="21" spans="1:4" ht="12.75">
      <c r="A21" t="s">
        <v>127</v>
      </c>
      <c r="B21">
        <f>0.8</f>
        <v>0.8</v>
      </c>
      <c r="C21">
        <v>1</v>
      </c>
      <c r="D21">
        <f>(B21/3.3+(0.11*(C21-1)))</f>
        <v>0.24242424242424246</v>
      </c>
    </row>
    <row r="22" spans="1:4" ht="12.75">
      <c r="A22" t="s">
        <v>129</v>
      </c>
      <c r="B22">
        <f>0.375</f>
        <v>0.375</v>
      </c>
      <c r="C22">
        <v>1</v>
      </c>
      <c r="D22">
        <f>(B22/3.3+(0.11*(C22-1)))</f>
        <v>0.11363636363636365</v>
      </c>
    </row>
    <row r="23" spans="1:4" ht="12.75">
      <c r="A23" t="s">
        <v>128</v>
      </c>
      <c r="B23">
        <f>0.375</f>
        <v>0.375</v>
      </c>
      <c r="C23">
        <v>1</v>
      </c>
      <c r="D23">
        <f>(B23/3.3+(0.11*(C23-1)))</f>
        <v>0.11363636363636365</v>
      </c>
    </row>
    <row r="24" spans="1:4" ht="12.75">
      <c r="A24" t="s">
        <v>126</v>
      </c>
      <c r="B24">
        <f>0.375</f>
        <v>0.375</v>
      </c>
      <c r="C24">
        <v>1</v>
      </c>
      <c r="D24">
        <f>(B24/3.3+(0.11*(C24-1)))</f>
        <v>0.11363636363636365</v>
      </c>
    </row>
    <row r="25" spans="1:4" ht="12.75">
      <c r="A25" t="s">
        <v>75</v>
      </c>
      <c r="B25">
        <f>0.375</f>
        <v>0.375</v>
      </c>
      <c r="C25">
        <v>1</v>
      </c>
      <c r="D25">
        <f>(B25/3.3+(0.11*(C25-1)))</f>
        <v>0.11363636363636365</v>
      </c>
    </row>
    <row r="26" spans="1:4" ht="12.75">
      <c r="A26" t="s">
        <v>74</v>
      </c>
      <c r="B26">
        <f>0.375</f>
        <v>0.375</v>
      </c>
      <c r="C26">
        <v>1</v>
      </c>
      <c r="D26">
        <f>(B26/3.3+(0.11*(C26-1)))</f>
        <v>0.11363636363636365</v>
      </c>
    </row>
    <row r="28" ht="12.75" customHeight="1"/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37.00390625" style="2" customWidth="1"/>
    <col min="2" max="2" width="9.421875" style="4" bestFit="1" customWidth="1"/>
    <col min="3" max="4" width="9.421875" style="3" bestFit="1" customWidth="1"/>
  </cols>
  <sheetData>
    <row r="1" spans="1:4" ht="12.75">
      <c r="A1" s="2" t="s">
        <v>151</v>
      </c>
      <c r="B1" s="4">
        <f>1+2+1.5+1.5+1+4+1.5+3+1</f>
        <v>16.5</v>
      </c>
      <c r="C1" s="3" t="s">
        <v>20</v>
      </c>
      <c r="D1" s="3">
        <f aca="true" t="shared" si="0" ref="D1:D8">(B1+(0.11*(C1-1)))</f>
        <v>17.38</v>
      </c>
    </row>
    <row r="2" spans="1:4" ht="12.75">
      <c r="A2" s="2" t="s">
        <v>13</v>
      </c>
      <c r="B2" s="4">
        <f>1+2+4+3+1+1+1</f>
        <v>13</v>
      </c>
      <c r="C2" s="3" t="s">
        <v>134</v>
      </c>
      <c r="D2" s="3">
        <f t="shared" si="0"/>
        <v>13.55</v>
      </c>
    </row>
    <row r="3" spans="1:4" ht="13.5" customHeight="1">
      <c r="A3" s="2" t="s">
        <v>137</v>
      </c>
      <c r="B3" s="4">
        <f>3+1.5+1+4+1+0.5</f>
        <v>11</v>
      </c>
      <c r="C3" s="3" t="s">
        <v>134</v>
      </c>
      <c r="D3" s="3">
        <f t="shared" si="0"/>
        <v>11.55</v>
      </c>
    </row>
    <row r="4" spans="1:4" ht="12.75">
      <c r="A4" s="2" t="s">
        <v>54</v>
      </c>
      <c r="B4" s="4">
        <f>1+2+2+4+1</f>
        <v>10</v>
      </c>
      <c r="C4" s="3" t="s">
        <v>21</v>
      </c>
      <c r="D4" s="3">
        <f t="shared" si="0"/>
        <v>10.44</v>
      </c>
    </row>
    <row r="5" spans="1:4" ht="12.75">
      <c r="A5" s="2" t="s">
        <v>139</v>
      </c>
      <c r="B5" s="4">
        <f>1.5+1+4+1+1</f>
        <v>8.5</v>
      </c>
      <c r="C5" s="3" t="s">
        <v>21</v>
      </c>
      <c r="D5" s="3">
        <f t="shared" si="0"/>
        <v>8.94</v>
      </c>
    </row>
    <row r="6" spans="1:4" ht="12.75">
      <c r="A6" s="2" t="s">
        <v>148</v>
      </c>
      <c r="B6" s="4">
        <f>1.5+3+1+1.5+0</f>
        <v>7</v>
      </c>
      <c r="C6" s="3" t="s">
        <v>21</v>
      </c>
      <c r="D6" s="3">
        <f t="shared" si="0"/>
        <v>7.44</v>
      </c>
    </row>
    <row r="7" spans="1:4" ht="12.75">
      <c r="A7" s="2" t="s">
        <v>150</v>
      </c>
      <c r="B7" s="4">
        <f>1+2+2</f>
        <v>5</v>
      </c>
      <c r="C7" s="3" t="s">
        <v>34</v>
      </c>
      <c r="D7" s="3">
        <f t="shared" si="0"/>
        <v>5.22</v>
      </c>
    </row>
    <row r="8" spans="1:4" ht="12.75">
      <c r="A8" s="2" t="s">
        <v>119</v>
      </c>
      <c r="B8" s="4">
        <f>2+1</f>
        <v>3</v>
      </c>
      <c r="C8" s="3" t="s">
        <v>102</v>
      </c>
      <c r="D8" s="3">
        <f t="shared" si="0"/>
        <v>3.11</v>
      </c>
    </row>
    <row r="9" spans="1:4" ht="12.75">
      <c r="A9" s="2" t="s">
        <v>149</v>
      </c>
      <c r="B9" s="4">
        <f>1+3</f>
        <v>4</v>
      </c>
      <c r="C9" s="3" t="s">
        <v>102</v>
      </c>
      <c r="D9">
        <f>(B9/3.3+(0.11*(C9-1)))</f>
        <v>1.3221212121212123</v>
      </c>
    </row>
    <row r="10" spans="1:4" ht="12.75">
      <c r="A10" s="2" t="s">
        <v>147</v>
      </c>
      <c r="B10" s="4">
        <f>1+0</f>
        <v>1</v>
      </c>
      <c r="C10" s="3" t="s">
        <v>102</v>
      </c>
      <c r="D10" s="3">
        <f>(B10+(0.11*(C10-1)))</f>
        <v>1.11</v>
      </c>
    </row>
    <row r="11" spans="1:4" ht="12.75">
      <c r="A11" s="2" t="s">
        <v>136</v>
      </c>
      <c r="B11" s="4">
        <f>1</f>
        <v>1</v>
      </c>
      <c r="C11" s="3" t="s">
        <v>99</v>
      </c>
      <c r="D11" s="3">
        <f>(B11+(0.11*(C11-1)))</f>
        <v>1</v>
      </c>
    </row>
    <row r="12" spans="1:4" ht="12.75">
      <c r="A12" s="2" t="s">
        <v>154</v>
      </c>
      <c r="B12" s="4">
        <f>1.5</f>
        <v>1.5</v>
      </c>
      <c r="C12" s="3" t="s">
        <v>99</v>
      </c>
      <c r="D12">
        <f aca="true" t="shared" si="1" ref="D12:D20">(B12/3.3+(0.11*(C12-1)))</f>
        <v>0.4545454545454546</v>
      </c>
    </row>
    <row r="13" spans="1:4" ht="12.75">
      <c r="A13" s="2" t="s">
        <v>18</v>
      </c>
      <c r="B13" s="4">
        <f>1</f>
        <v>1</v>
      </c>
      <c r="C13" s="3" t="s">
        <v>99</v>
      </c>
      <c r="D13">
        <f t="shared" si="1"/>
        <v>0.30303030303030304</v>
      </c>
    </row>
    <row r="14" spans="1:4" ht="12.75">
      <c r="A14" s="2" t="s">
        <v>135</v>
      </c>
      <c r="B14" s="4">
        <f>1</f>
        <v>1</v>
      </c>
      <c r="C14" s="3" t="s">
        <v>99</v>
      </c>
      <c r="D14" s="3">
        <f t="shared" si="1"/>
        <v>0.30303030303030304</v>
      </c>
    </row>
    <row r="15" spans="1:4" ht="12.75">
      <c r="A15" s="2" t="s">
        <v>26</v>
      </c>
      <c r="B15" s="4">
        <f>1</f>
        <v>1</v>
      </c>
      <c r="C15" s="3" t="s">
        <v>99</v>
      </c>
      <c r="D15" s="3">
        <f t="shared" si="1"/>
        <v>0.30303030303030304</v>
      </c>
    </row>
    <row r="16" spans="1:4" ht="12.75">
      <c r="A16" s="2" t="s">
        <v>152</v>
      </c>
      <c r="B16" s="4">
        <f>0.375</f>
        <v>0.375</v>
      </c>
      <c r="C16" s="3" t="s">
        <v>99</v>
      </c>
      <c r="D16">
        <f t="shared" si="1"/>
        <v>0.11363636363636365</v>
      </c>
    </row>
    <row r="17" spans="1:4" ht="12.75">
      <c r="A17" s="2" t="s">
        <v>16</v>
      </c>
      <c r="B17" s="4">
        <f>0.375</f>
        <v>0.375</v>
      </c>
      <c r="C17" s="3" t="s">
        <v>99</v>
      </c>
      <c r="D17">
        <f t="shared" si="1"/>
        <v>0.11363636363636365</v>
      </c>
    </row>
    <row r="18" spans="1:4" ht="12.75">
      <c r="A18" s="2" t="s">
        <v>153</v>
      </c>
      <c r="B18" s="4">
        <f>0.375</f>
        <v>0.375</v>
      </c>
      <c r="C18" s="3" t="s">
        <v>99</v>
      </c>
      <c r="D18">
        <f t="shared" si="1"/>
        <v>0.11363636363636365</v>
      </c>
    </row>
    <row r="19" spans="1:4" ht="12.75">
      <c r="A19" s="2" t="s">
        <v>17</v>
      </c>
      <c r="B19" s="4">
        <f>0.375</f>
        <v>0.375</v>
      </c>
      <c r="C19" s="3" t="s">
        <v>99</v>
      </c>
      <c r="D19">
        <f t="shared" si="1"/>
        <v>0.11363636363636365</v>
      </c>
    </row>
    <row r="20" spans="1:4" ht="12.75">
      <c r="A20" s="2" t="s">
        <v>118</v>
      </c>
      <c r="B20" s="4">
        <f>0.375</f>
        <v>0.375</v>
      </c>
      <c r="C20" s="3" t="s">
        <v>99</v>
      </c>
      <c r="D20">
        <f t="shared" si="1"/>
        <v>0.11363636363636365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31.8515625" style="0" customWidth="1"/>
  </cols>
  <sheetData>
    <row r="1" spans="1:5" ht="12.75">
      <c r="A1" t="s">
        <v>7</v>
      </c>
      <c r="B1">
        <f>1.5+2+1.5+1+4+3+1+1+1</f>
        <v>16</v>
      </c>
      <c r="C1">
        <v>9</v>
      </c>
      <c r="D1">
        <v>10</v>
      </c>
      <c r="E1">
        <f aca="true" t="shared" si="0" ref="E1:E19">B1+(0.11*(C1-1))+D1*0.35</f>
        <v>20.38</v>
      </c>
    </row>
    <row r="2" spans="1:5" ht="12.75">
      <c r="A2" t="s">
        <v>5</v>
      </c>
      <c r="B2">
        <f>1.5+2+2+1+4+1.5+1</f>
        <v>13</v>
      </c>
      <c r="C2">
        <v>7</v>
      </c>
      <c r="D2">
        <v>12</v>
      </c>
      <c r="E2">
        <f t="shared" si="0"/>
        <v>17.86</v>
      </c>
    </row>
    <row r="3" spans="1:5" ht="12.75">
      <c r="A3" t="s">
        <v>4</v>
      </c>
      <c r="B3">
        <f>1+3+3+3+4+1.5+1</f>
        <v>16.5</v>
      </c>
      <c r="C3">
        <v>7</v>
      </c>
      <c r="D3">
        <v>1</v>
      </c>
      <c r="E3">
        <f t="shared" si="0"/>
        <v>17.51</v>
      </c>
    </row>
    <row r="4" spans="1:5" ht="12.75">
      <c r="A4" t="s">
        <v>57</v>
      </c>
      <c r="B4">
        <f>3+4</f>
        <v>7</v>
      </c>
      <c r="C4">
        <v>2</v>
      </c>
      <c r="D4">
        <v>3</v>
      </c>
      <c r="E4">
        <f t="shared" si="0"/>
        <v>8.16</v>
      </c>
    </row>
    <row r="5" spans="1:5" ht="12.75">
      <c r="A5" t="s">
        <v>107</v>
      </c>
      <c r="B5">
        <f>4+1</f>
        <v>5</v>
      </c>
      <c r="C5">
        <v>2</v>
      </c>
      <c r="D5">
        <v>3</v>
      </c>
      <c r="E5">
        <f t="shared" si="0"/>
        <v>6.16</v>
      </c>
    </row>
    <row r="6" spans="1:5" ht="12.75">
      <c r="A6" t="s">
        <v>103</v>
      </c>
      <c r="B6">
        <f>0.8+0.8+0.8</f>
        <v>2.4000000000000004</v>
      </c>
      <c r="C6">
        <v>3</v>
      </c>
      <c r="D6">
        <v>4</v>
      </c>
      <c r="E6">
        <f t="shared" si="0"/>
        <v>4.0200000000000005</v>
      </c>
    </row>
    <row r="7" spans="1:5" ht="12.75">
      <c r="A7" t="s">
        <v>15</v>
      </c>
      <c r="B7">
        <f>4</f>
        <v>4</v>
      </c>
      <c r="C7">
        <v>1</v>
      </c>
      <c r="E7">
        <f t="shared" si="0"/>
        <v>4</v>
      </c>
    </row>
    <row r="8" spans="1:5" ht="12.75">
      <c r="A8" t="s">
        <v>64</v>
      </c>
      <c r="B8">
        <f>2+1</f>
        <v>3</v>
      </c>
      <c r="C8">
        <v>2</v>
      </c>
      <c r="D8">
        <v>2</v>
      </c>
      <c r="E8">
        <f t="shared" si="0"/>
        <v>3.8099999999999996</v>
      </c>
    </row>
    <row r="9" spans="1:5" ht="12.75">
      <c r="A9" t="s">
        <v>59</v>
      </c>
      <c r="B9">
        <f>0.8+0.8+0.8</f>
        <v>2.4000000000000004</v>
      </c>
      <c r="C9">
        <v>3</v>
      </c>
      <c r="D9">
        <v>3</v>
      </c>
      <c r="E9">
        <f t="shared" si="0"/>
        <v>3.6700000000000004</v>
      </c>
    </row>
    <row r="10" spans="1:5" ht="12.75">
      <c r="A10" t="s">
        <v>114</v>
      </c>
      <c r="B10">
        <f>0.8+0.8</f>
        <v>1.6</v>
      </c>
      <c r="C10">
        <v>2</v>
      </c>
      <c r="D10">
        <v>2</v>
      </c>
      <c r="E10">
        <f t="shared" si="0"/>
        <v>2.41</v>
      </c>
    </row>
    <row r="11" spans="1:5" ht="12.75">
      <c r="A11" t="s">
        <v>142</v>
      </c>
      <c r="B11">
        <f>1.5</f>
        <v>1.5</v>
      </c>
      <c r="C11">
        <v>1</v>
      </c>
      <c r="E11">
        <f t="shared" si="0"/>
        <v>1.5</v>
      </c>
    </row>
    <row r="12" spans="1:5" ht="12.75">
      <c r="A12" t="s">
        <v>83</v>
      </c>
      <c r="B12">
        <f>1</f>
        <v>1</v>
      </c>
      <c r="C12">
        <v>1</v>
      </c>
      <c r="D12">
        <v>1</v>
      </c>
      <c r="E12">
        <f t="shared" si="0"/>
        <v>1.35</v>
      </c>
    </row>
    <row r="13" spans="1:5" ht="12.75">
      <c r="A13" t="s">
        <v>61</v>
      </c>
      <c r="B13">
        <f>0.8</f>
        <v>0.8</v>
      </c>
      <c r="C13">
        <v>1</v>
      </c>
      <c r="D13">
        <v>1</v>
      </c>
      <c r="E13">
        <f t="shared" si="0"/>
        <v>1.15</v>
      </c>
    </row>
    <row r="14" spans="1:5" ht="12.75">
      <c r="A14" t="s">
        <v>155</v>
      </c>
      <c r="B14">
        <f>0.8</f>
        <v>0.8</v>
      </c>
      <c r="C14">
        <v>1</v>
      </c>
      <c r="D14">
        <v>1</v>
      </c>
      <c r="E14">
        <f t="shared" si="0"/>
        <v>1.15</v>
      </c>
    </row>
    <row r="15" spans="1:5" ht="12.75">
      <c r="A15" t="s">
        <v>143</v>
      </c>
      <c r="B15">
        <f>0.8</f>
        <v>0.8</v>
      </c>
      <c r="C15">
        <v>1</v>
      </c>
      <c r="D15">
        <v>1</v>
      </c>
      <c r="E15">
        <f t="shared" si="0"/>
        <v>1.15</v>
      </c>
    </row>
    <row r="16" spans="1:5" ht="12.75">
      <c r="A16" t="s">
        <v>97</v>
      </c>
      <c r="B16">
        <f>1</f>
        <v>1</v>
      </c>
      <c r="C16">
        <v>1</v>
      </c>
      <c r="E16">
        <f t="shared" si="0"/>
        <v>1</v>
      </c>
    </row>
    <row r="17" spans="1:5" ht="12.75">
      <c r="A17" t="s">
        <v>6</v>
      </c>
      <c r="B17">
        <f>1</f>
        <v>1</v>
      </c>
      <c r="C17">
        <v>1</v>
      </c>
      <c r="E17">
        <f t="shared" si="0"/>
        <v>1</v>
      </c>
    </row>
    <row r="18" spans="1:5" ht="12.75">
      <c r="A18" t="s">
        <v>112</v>
      </c>
      <c r="B18">
        <f>1</f>
        <v>1</v>
      </c>
      <c r="C18">
        <v>1</v>
      </c>
      <c r="E18">
        <f t="shared" si="0"/>
        <v>1</v>
      </c>
    </row>
    <row r="19" spans="1:5" ht="12.75">
      <c r="A19" t="s">
        <v>22</v>
      </c>
      <c r="B19">
        <f>1</f>
        <v>1</v>
      </c>
      <c r="C19">
        <v>1</v>
      </c>
      <c r="E19">
        <f t="shared" si="0"/>
        <v>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27.28125" style="0" customWidth="1"/>
  </cols>
  <sheetData>
    <row r="1" spans="1:5" ht="12.75">
      <c r="A1" t="s">
        <v>106</v>
      </c>
      <c r="B1">
        <f>1+2+2+2+3+1.5+1.5+1.5+1+4+2+1.5+2+1</f>
        <v>26</v>
      </c>
      <c r="C1">
        <v>15</v>
      </c>
      <c r="D1">
        <v>15</v>
      </c>
      <c r="E1">
        <f aca="true" t="shared" si="0" ref="E1:E10">B1+(0.11*(C1-1))+D1*0.35</f>
        <v>32.79</v>
      </c>
    </row>
    <row r="2" spans="1:5" ht="12.75">
      <c r="A2" t="s">
        <v>105</v>
      </c>
      <c r="B2">
        <f>1+3+1.5+1+4+1+1+1</f>
        <v>13.5</v>
      </c>
      <c r="C2">
        <v>8</v>
      </c>
      <c r="D2">
        <v>9</v>
      </c>
      <c r="E2">
        <f t="shared" si="0"/>
        <v>17.419999999999998</v>
      </c>
    </row>
    <row r="3" spans="1:5" ht="12.75">
      <c r="A3" t="s">
        <v>32</v>
      </c>
      <c r="B3">
        <f>2+4+1+1</f>
        <v>8</v>
      </c>
      <c r="C3">
        <v>4</v>
      </c>
      <c r="D3">
        <v>4</v>
      </c>
      <c r="E3">
        <f t="shared" si="0"/>
        <v>9.73</v>
      </c>
    </row>
    <row r="4" spans="1:5" ht="12.75">
      <c r="A4" t="s">
        <v>104</v>
      </c>
      <c r="B4">
        <f>1+4+1+1</f>
        <v>7</v>
      </c>
      <c r="C4">
        <v>4</v>
      </c>
      <c r="D4">
        <v>6</v>
      </c>
      <c r="E4">
        <f t="shared" si="0"/>
        <v>9.43</v>
      </c>
    </row>
    <row r="5" spans="1:5" ht="12.75">
      <c r="A5" t="s">
        <v>63</v>
      </c>
      <c r="B5">
        <f>4+1+1</f>
        <v>6</v>
      </c>
      <c r="C5">
        <v>3</v>
      </c>
      <c r="D5">
        <v>4</v>
      </c>
      <c r="E5">
        <f t="shared" si="0"/>
        <v>7.619999999999999</v>
      </c>
    </row>
    <row r="6" spans="1:5" ht="12.75">
      <c r="A6" t="s">
        <v>113</v>
      </c>
      <c r="B6">
        <f>1+2</f>
        <v>3</v>
      </c>
      <c r="C6">
        <v>2</v>
      </c>
      <c r="D6">
        <v>5</v>
      </c>
      <c r="E6">
        <f t="shared" si="0"/>
        <v>4.859999999999999</v>
      </c>
    </row>
    <row r="7" spans="1:5" ht="12.75">
      <c r="A7" t="s">
        <v>108</v>
      </c>
      <c r="B7">
        <f>1.5</f>
        <v>1.5</v>
      </c>
      <c r="C7">
        <v>1</v>
      </c>
      <c r="D7">
        <v>2</v>
      </c>
      <c r="E7">
        <f t="shared" si="0"/>
        <v>2.2</v>
      </c>
    </row>
    <row r="8" spans="1:5" ht="12.75">
      <c r="A8" t="s">
        <v>110</v>
      </c>
      <c r="B8">
        <f>1+1</f>
        <v>2</v>
      </c>
      <c r="C8">
        <v>2</v>
      </c>
      <c r="E8">
        <f t="shared" si="0"/>
        <v>2.11</v>
      </c>
    </row>
    <row r="9" spans="1:5" ht="12.75">
      <c r="A9" t="s">
        <v>133</v>
      </c>
      <c r="B9">
        <f>1</f>
        <v>1</v>
      </c>
      <c r="C9">
        <v>1</v>
      </c>
      <c r="D9">
        <v>2</v>
      </c>
      <c r="E9">
        <f t="shared" si="0"/>
        <v>1.7</v>
      </c>
    </row>
    <row r="10" spans="1:5" ht="12.75">
      <c r="A10" t="s">
        <v>8</v>
      </c>
      <c r="B10">
        <f>1</f>
        <v>1</v>
      </c>
      <c r="C10">
        <v>1</v>
      </c>
      <c r="E10">
        <f t="shared" si="0"/>
        <v>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</dc:creator>
  <cp:keywords/>
  <dc:description/>
  <cp:lastModifiedBy>vero</cp:lastModifiedBy>
  <cp:lastPrinted>2000-08-03T20:54:53Z</cp:lastPrinted>
  <dcterms:created xsi:type="dcterms:W3CDTF">2000-02-17T17:19:19Z</dcterms:created>
  <dcterms:modified xsi:type="dcterms:W3CDTF">2012-08-23T00:40:30Z</dcterms:modified>
  <cp:category/>
  <cp:version/>
  <cp:contentType/>
  <cp:contentStatus/>
</cp:coreProperties>
</file>