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2760" windowWidth="15240" windowHeight="7515" tabRatio="599" activeTab="0"/>
  </bookViews>
  <sheets>
    <sheet name="Picture" sheetId="1" r:id="rId1"/>
    <sheet name="Director" sheetId="2" r:id="rId2"/>
    <sheet name="Actor" sheetId="3" r:id="rId3"/>
    <sheet name="Actress" sheetId="4" r:id="rId4"/>
    <sheet name="Supp.Actor" sheetId="5" r:id="rId5"/>
    <sheet name="Supp.Actress" sheetId="6" r:id="rId6"/>
    <sheet name="Original" sheetId="7" r:id="rId7"/>
    <sheet name="Adaptation" sheetId="8" r:id="rId8"/>
    <sheet name="0" sheetId="9" r:id="rId9"/>
    <sheet name="00" sheetId="10" r:id="rId10"/>
    <sheet name="000" sheetId="11" r:id="rId11"/>
    <sheet name="0000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_xlnm.Print_Area" localSheetId="7">'Adaptation'!$A:$E</definedName>
  </definedNames>
  <calcPr fullCalcOnLoad="1"/>
</workbook>
</file>

<file path=xl/sharedStrings.xml><?xml version="1.0" encoding="utf-8"?>
<sst xmlns="http://schemas.openxmlformats.org/spreadsheetml/2006/main" count="163" uniqueCount="140">
  <si>
    <t>Chris Cooper, Seabiscuit</t>
  </si>
  <si>
    <t>Girl with a pearl earring</t>
  </si>
  <si>
    <t>Under the Tusan Sun</t>
  </si>
  <si>
    <t>Thomas McCarthy, The Station Agent</t>
  </si>
  <si>
    <t>Robert Pulcini &amp; Shari Springer Berman, American Splendor</t>
  </si>
  <si>
    <t>Patty Jenkins, Monster</t>
  </si>
  <si>
    <t>Sean Penn, 21 Grams</t>
  </si>
  <si>
    <t>Jude Law, Cold Mountain</t>
  </si>
  <si>
    <t>Ian McKellan, The Lord of the Rings: The Return of the King</t>
  </si>
  <si>
    <t>Paul Bettany, Master and Commander: The Far Side of the World</t>
  </si>
  <si>
    <t>Judy Parfitt, Girl With a Pearl Earring</t>
  </si>
  <si>
    <t>Laura Linney, Mistic River</t>
  </si>
  <si>
    <t>Girl With a Pearl Earring</t>
  </si>
  <si>
    <t>Patricia Clarkson, Pieces of April</t>
  </si>
  <si>
    <t>Scarlett Johanson, Lost in Translation</t>
  </si>
  <si>
    <t>Shaheen Khan, Bend it Like Beckham</t>
  </si>
  <si>
    <t>Clint Eastwood, Mystic River</t>
  </si>
  <si>
    <t>Bad Santa</t>
  </si>
  <si>
    <t>Julie Walters, Calendar Girls</t>
  </si>
  <si>
    <t>Jeff Bridges, Seabiscuit</t>
  </si>
  <si>
    <t>Djimon Hounsou, In America</t>
  </si>
  <si>
    <t>Omar Sharif, Monsieur Ibrahim</t>
  </si>
  <si>
    <t>Andy Serkis, The Lord of the Rings: The Return of the King</t>
  </si>
  <si>
    <t>The Man on the Train</t>
  </si>
  <si>
    <t>Patrice Leconte, Man on the Train</t>
  </si>
  <si>
    <t>Man on the Train</t>
  </si>
  <si>
    <t>The Lord of the Rings: The Return of the King</t>
  </si>
  <si>
    <t>Edward Zwick, The Last Samurai</t>
  </si>
  <si>
    <t>Gary Ross, Seabiscuit</t>
  </si>
  <si>
    <t>Charlie's Angels: Full Throttle</t>
  </si>
  <si>
    <t>Legally Blonde 2: Red, White &amp; Blonde</t>
  </si>
  <si>
    <t>Melissa Leo, 21 Grams</t>
  </si>
  <si>
    <t>Benicio Del Toro, 21 Grams</t>
  </si>
  <si>
    <t>Monster</t>
  </si>
  <si>
    <t>School of Rock</t>
  </si>
  <si>
    <t>Tim Burton, Big Fish</t>
  </si>
  <si>
    <t>Keisha Castle-Hughes, Wale Rider</t>
  </si>
  <si>
    <t>21 Grams</t>
  </si>
  <si>
    <t>Mystic River</t>
  </si>
  <si>
    <t>The Last Samurai</t>
  </si>
  <si>
    <t>Diane Keaton, Something's Gotta Give</t>
  </si>
  <si>
    <t>Nicole Kidman, Cold Mountain</t>
  </si>
  <si>
    <t>Uma Thurman, Kill Bill, Vol. 1</t>
  </si>
  <si>
    <t>Albert Finney, Big Fish</t>
  </si>
  <si>
    <t>William H. Macy, Seabiscuit</t>
  </si>
  <si>
    <t>Tim Robbins, Mystic River</t>
  </si>
  <si>
    <t>Peter Sarsgaard, Shattered Glass</t>
  </si>
  <si>
    <t>Renee Zellweger, Cold Mountain</t>
  </si>
  <si>
    <t>Richard Curtis, Love Actually</t>
  </si>
  <si>
    <t>Scarlett Johanson, Girl with a Pearl Earring</t>
  </si>
  <si>
    <t>Chiewetel Ejiofor, Dirty Pretty Things</t>
  </si>
  <si>
    <t>The Magdalene Sisters</t>
  </si>
  <si>
    <t>Bend it Like Beckham</t>
  </si>
  <si>
    <t>Alejandro Gonzalez Inarritu, 21 Grams</t>
  </si>
  <si>
    <t>Dirty Pretty Things</t>
  </si>
  <si>
    <t>Master and Commander: The Far Side of the World</t>
  </si>
  <si>
    <t>Thirteen</t>
  </si>
  <si>
    <t>Whale Rider</t>
  </si>
  <si>
    <t>American Splendor</t>
  </si>
  <si>
    <t>Cate Blanchett, Veronica Guerin</t>
  </si>
  <si>
    <t>Sean Astin, The Lord of the Rings: The Return of the King</t>
  </si>
  <si>
    <t>Angela Bettis, May</t>
  </si>
  <si>
    <t>A Mighty Wind</t>
  </si>
  <si>
    <t>Pirates of the Caribbean: Curse of the Black Pearle</t>
  </si>
  <si>
    <t>Niki Caro, Whale Rider</t>
  </si>
  <si>
    <t>Catherine Hardwicke, Thirteen</t>
  </si>
  <si>
    <t>Toni Collette, Japanese Story</t>
  </si>
  <si>
    <t>Jennifer Connelly, House of Sand and Fog</t>
  </si>
  <si>
    <t>Samantha Morton, In America</t>
  </si>
  <si>
    <t>Charlize Theron, Monster</t>
  </si>
  <si>
    <t>Hope Davis, American Splendor</t>
  </si>
  <si>
    <t>Jamie Lee Curtis, Freaky Friday</t>
  </si>
  <si>
    <t>Katie Holmes, Pieces of April</t>
  </si>
  <si>
    <t>Diane Lane, Under the Tuscan Sun</t>
  </si>
  <si>
    <t>Helen Mirren, Calendar Girls</t>
  </si>
  <si>
    <t>Evan Rachel Wood, Thirteen</t>
  </si>
  <si>
    <t>Ellen DeGeneres, Finding Nemo</t>
  </si>
  <si>
    <t>Pieces of April</t>
  </si>
  <si>
    <t>Peter Dinklage, The Station Agent</t>
  </si>
  <si>
    <t>The Station Agent</t>
  </si>
  <si>
    <t>Barbarian Invasion</t>
  </si>
  <si>
    <t>Paddy Considine, In America</t>
  </si>
  <si>
    <t>Tom Cruise, The Last Samurai</t>
  </si>
  <si>
    <t>Cold Mountain</t>
  </si>
  <si>
    <t>In America</t>
  </si>
  <si>
    <t>Anthony Minghella, Cold Mountain</t>
  </si>
  <si>
    <t>Charlotte Rampling, Swimming Pool</t>
  </si>
  <si>
    <t>Lord of the Rings: The Return of the King</t>
  </si>
  <si>
    <t>House of Sand and Fog</t>
  </si>
  <si>
    <t>Lost in Translation</t>
  </si>
  <si>
    <t>The Secret Lives of Dentists</t>
  </si>
  <si>
    <t>City of God</t>
  </si>
  <si>
    <t>Peter Jackson, Lord of the Rings: The Return of the King</t>
  </si>
  <si>
    <t>Sofia Coppola, Lost in Translation</t>
  </si>
  <si>
    <t>Fernando Meirelles, City of God</t>
  </si>
  <si>
    <t>Bill Murray, Lost in Translation</t>
  </si>
  <si>
    <t>Naomi Watts, 21 Grams</t>
  </si>
  <si>
    <t>Eugene Levy, A Mighty Wind</t>
  </si>
  <si>
    <t>Shohreh Aghdashloo, House of Sand and Fog</t>
  </si>
  <si>
    <t>Catherine O'Hara, A Mighty Wind</t>
  </si>
  <si>
    <t>Emma Thompson, Love Actually</t>
  </si>
  <si>
    <t>Alan Rudolph, The Secret Lives of Dentists</t>
  </si>
  <si>
    <t>Peter Mullan, The Magdalene Sisters</t>
  </si>
  <si>
    <t>Ken Watanabe, The Last Samurai</t>
  </si>
  <si>
    <t>Johnny Depp, Once Upon a Time in Mexico</t>
  </si>
  <si>
    <t>Bill Nighy, Love Actually</t>
  </si>
  <si>
    <t>Sam Rockwell, Matchstick Man</t>
  </si>
  <si>
    <t>Geoffrey Rush, Pirates of the Caribbean: Curse of the Black Pearle</t>
  </si>
  <si>
    <t>Thomas Sangster, Love Actually</t>
  </si>
  <si>
    <t>The Cooler</t>
  </si>
  <si>
    <t>Kill Bill, Vol. 1</t>
  </si>
  <si>
    <t>Seabiscuit</t>
  </si>
  <si>
    <t>Shattered Glass</t>
  </si>
  <si>
    <t>Big Fish</t>
  </si>
  <si>
    <t>Finding Nemo</t>
  </si>
  <si>
    <t>Love Actually</t>
  </si>
  <si>
    <t>Peter Weir, Master and Commander: The Far Side of the World</t>
  </si>
  <si>
    <t>Nikki Reed, Thirteen</t>
  </si>
  <si>
    <t>Jim Sheridan, In America</t>
  </si>
  <si>
    <t>Hayden Christensen, Shattered Glass</t>
  </si>
  <si>
    <t>Alec Baldwin, The Cooler</t>
  </si>
  <si>
    <t>Something's Gotta Give</t>
  </si>
  <si>
    <t>Russell Crowe, Master and Commander: The Far Side of the World</t>
  </si>
  <si>
    <t>Ben Kingsley, House of Sand and Fog</t>
  </si>
  <si>
    <t>Jack Nicholson, Something's Gotta Give</t>
  </si>
  <si>
    <t>William H. Macy, The Cooler</t>
  </si>
  <si>
    <t>Sean Penn, Mystic River</t>
  </si>
  <si>
    <t>Jack Black, School of Rock</t>
  </si>
  <si>
    <t>Johnny Depp, Pirates of the Carabbean: Curse of the Black Purle</t>
  </si>
  <si>
    <t>Robert Downey Jr., Singing Detective</t>
  </si>
  <si>
    <t>Paul Giamatti, American Splendor</t>
  </si>
  <si>
    <t>Billy Bob Thornton, Bad Santa</t>
  </si>
  <si>
    <t>Maria Bello, The Cooler</t>
  </si>
  <si>
    <t>Annette Bening, Open Range</t>
  </si>
  <si>
    <t>Emma Bolger, In America</t>
  </si>
  <si>
    <t>Patricia Clarkson, The Sation Agent</t>
  </si>
  <si>
    <t>Marcia Gay Harden, Mystic River</t>
  </si>
  <si>
    <t>Holly Hunter, Thirteen</t>
  </si>
  <si>
    <t>Denis  Arcand, Barbarian Invasion</t>
  </si>
  <si>
    <t>Quentin Tarantino, Kill Bill, Vol. 1</t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</si>
</sst>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&quot;fl&quot;\ * #,##0.00_-;_-&quot;fl&quot;\ * #,##0.00\-;_-&quot;fl&quot;\ * &quot;-&quot;??_-;_-@_-"/>
    <numFmt numFmtId="202" formatCode="#,##0\ &quot;FB&quot;;\-#,##0\ &quot;FB&quot;"/>
    <numFmt numFmtId="203" formatCode="#,##0\ &quot;FB&quot;;[Red]\-#,##0\ &quot;FB&quot;"/>
    <numFmt numFmtId="204" formatCode="#,##0.00\ &quot;FB&quot;;\-#,##0.00\ &quot;FB&quot;"/>
    <numFmt numFmtId="205" formatCode="#,##0.00\ &quot;FB&quot;;[Red]\-#,##0.00\ &quot;FB&quot;"/>
    <numFmt numFmtId="206" formatCode="_-* #,##0\ &quot;FB&quot;_-;\-* #,##0\ &quot;FB&quot;_-;_-* &quot;-&quot;\ &quot;FB&quot;_-;_-@_-"/>
    <numFmt numFmtId="207" formatCode="_-* #,##0\ _F_B_-;\-* #,##0\ _F_B_-;_-* &quot;-&quot;\ _F_B_-;_-@_-"/>
    <numFmt numFmtId="208" formatCode="_-* #,##0.00\ &quot;FB&quot;_-;\-* #,##0.00\ &quot;FB&quot;_-;_-* &quot;-&quot;??\ &quot;FB&quot;_-;_-@_-"/>
    <numFmt numFmtId="209" formatCode="_-* #,##0.00\ _F_B_-;\-* #,##0.00\ _F_B_-;_-* &quot;-&quot;??\ _F_B_-;_-@_-"/>
    <numFmt numFmtId="210" formatCode="&quot;Ja&quot;;&quot;Ja&quot;;&quot;Nee&quot;"/>
    <numFmt numFmtId="211" formatCode="&quot;Waar&quot;;&quot;Waar&quot;;&quot;Niet waar&quot;"/>
    <numFmt numFmtId="212" formatCode="&quot;Aan&quot;;&quot;Aan&quot;;&quot;Uit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63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175"/>
          <c:w val="0.96775"/>
          <c:h val="0.9365"/>
        </c:manualLayout>
      </c:layout>
      <c:barChart>
        <c:barDir val="col"/>
        <c:grouping val="clustered"/>
        <c:varyColors val="0"/>
        <c:axId val="28237688"/>
        <c:axId val="52812601"/>
      </c:barChart>
      <c:catAx>
        <c:axId val="28237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12601"/>
        <c:crosses val="autoZero"/>
        <c:auto val="0"/>
        <c:lblOffset val="100"/>
        <c:tickLblSkip val="1"/>
        <c:noMultiLvlLbl val="0"/>
      </c:catAx>
      <c:valAx>
        <c:axId val="528126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37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"/>
          <c:w val="0.96825"/>
          <c:h val="0.94"/>
        </c:manualLayout>
      </c:layout>
      <c:barChart>
        <c:barDir val="col"/>
        <c:grouping val="clustered"/>
        <c:varyColors val="0"/>
        <c:axId val="5551362"/>
        <c:axId val="49962259"/>
      </c:barChart>
      <c:catAx>
        <c:axId val="55513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62259"/>
        <c:crosses val="autoZero"/>
        <c:auto val="0"/>
        <c:lblOffset val="100"/>
        <c:tickLblSkip val="1"/>
        <c:noMultiLvlLbl val="0"/>
      </c:catAx>
      <c:valAx>
        <c:axId val="499622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1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5"/>
          <c:w val="0.9685"/>
          <c:h val="0.939"/>
        </c:manualLayout>
      </c:layout>
      <c:barChart>
        <c:barDir val="col"/>
        <c:grouping val="clustered"/>
        <c:varyColors val="0"/>
        <c:axId val="47007148"/>
        <c:axId val="20411149"/>
      </c:barChart>
      <c:catAx>
        <c:axId val="470071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11149"/>
        <c:crosses val="autoZero"/>
        <c:auto val="0"/>
        <c:lblOffset val="100"/>
        <c:tickLblSkip val="1"/>
        <c:noMultiLvlLbl val="0"/>
      </c:catAx>
      <c:valAx>
        <c:axId val="204111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85725</xdr:rowOff>
    </xdr:from>
    <xdr:to>
      <xdr:col>10</xdr:col>
      <xdr:colOff>476250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400050" y="247650"/>
        <a:ext cx="59817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57150</xdr:rowOff>
    </xdr:from>
    <xdr:to>
      <xdr:col>11</xdr:col>
      <xdr:colOff>76200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66725" y="219075"/>
        <a:ext cx="6105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0</xdr:rowOff>
    </xdr:from>
    <xdr:to>
      <xdr:col>11</xdr:col>
      <xdr:colOff>171450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514350" y="161925"/>
        <a:ext cx="6153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A5"/>
    </sheetView>
  </sheetViews>
  <sheetFormatPr defaultColWidth="8.8515625" defaultRowHeight="12.75"/>
  <cols>
    <col min="1" max="1" width="28.28125" style="0" customWidth="1"/>
    <col min="2" max="2" width="9.421875" style="0" customWidth="1"/>
    <col min="3" max="3" width="8.7109375" style="0" customWidth="1"/>
    <col min="4" max="4" width="8.8515625" style="0" customWidth="1"/>
    <col min="5" max="5" width="8.421875" style="0" customWidth="1"/>
    <col min="6" max="6" width="9.00390625" style="0" customWidth="1"/>
  </cols>
  <sheetData>
    <row r="1" spans="1:7" ht="12.75">
      <c r="A1" t="s">
        <v>26</v>
      </c>
      <c r="B1">
        <f>3+1.5+2+1.5+1.5+1.5+4+2+1.5+1.5+3+1.5+2+1+3+3+3+1+1.5+1+0.8</f>
        <v>40.8</v>
      </c>
      <c r="C1">
        <v>21</v>
      </c>
      <c r="D1">
        <v>12</v>
      </c>
      <c r="E1">
        <v>9</v>
      </c>
      <c r="F1">
        <v>1</v>
      </c>
      <c r="G1">
        <f aca="true" t="shared" si="0" ref="G1:G37">IF(C1=0,0,IF(AND(F1&gt;0,E1&gt;0),B1+3,B1/2.5)+((C1-1)*0.02)+(D1*0.66)+(E1*0.33))</f>
        <v>55.089999999999996</v>
      </c>
    </row>
    <row r="2" spans="1:7" ht="12.75">
      <c r="A2" t="s">
        <v>38</v>
      </c>
      <c r="B2">
        <f>3+2+1+1+1+1+4+2+2+2+1+3+2+1+1+0.8+0.8</f>
        <v>28.6</v>
      </c>
      <c r="C2">
        <v>17</v>
      </c>
      <c r="D2">
        <v>10</v>
      </c>
      <c r="E2">
        <v>8</v>
      </c>
      <c r="F2">
        <v>1</v>
      </c>
      <c r="G2">
        <f t="shared" si="0"/>
        <v>41.160000000000004</v>
      </c>
    </row>
    <row r="3" spans="1:7" ht="12.75">
      <c r="A3" t="s">
        <v>89</v>
      </c>
      <c r="B3">
        <f>1.5+2+1+2+1+1+4+2+1+3+1+1+0.8+0.8+0.8+0.8+1.5</f>
        <v>25.200000000000003</v>
      </c>
      <c r="C3">
        <v>17</v>
      </c>
      <c r="D3">
        <v>9</v>
      </c>
      <c r="E3">
        <v>5</v>
      </c>
      <c r="F3">
        <v>1</v>
      </c>
      <c r="G3">
        <f t="shared" si="0"/>
        <v>36.11</v>
      </c>
    </row>
    <row r="4" spans="1:7" ht="12.75">
      <c r="A4" t="s">
        <v>111</v>
      </c>
      <c r="B4">
        <f>2+4+2+2+3+2+1</f>
        <v>16</v>
      </c>
      <c r="C4">
        <v>7</v>
      </c>
      <c r="D4">
        <v>7</v>
      </c>
      <c r="E4">
        <v>10</v>
      </c>
      <c r="F4">
        <v>1</v>
      </c>
      <c r="G4">
        <f t="shared" si="0"/>
        <v>27.040000000000003</v>
      </c>
    </row>
    <row r="5" spans="1:7" ht="12.75">
      <c r="A5" t="s">
        <v>55</v>
      </c>
      <c r="B5">
        <f>1+2+4+2+2+1</f>
        <v>12</v>
      </c>
      <c r="C5">
        <v>6</v>
      </c>
      <c r="D5">
        <v>8</v>
      </c>
      <c r="E5">
        <v>5</v>
      </c>
      <c r="F5">
        <v>1</v>
      </c>
      <c r="G5">
        <f t="shared" si="0"/>
        <v>22.029999999999998</v>
      </c>
    </row>
    <row r="6" spans="1:7" ht="12.75">
      <c r="A6" t="s">
        <v>83</v>
      </c>
      <c r="B6">
        <f>2+1+4+2+1+1+0.8</f>
        <v>11.8</v>
      </c>
      <c r="C6">
        <v>7</v>
      </c>
      <c r="D6">
        <v>7</v>
      </c>
      <c r="E6">
        <v>5</v>
      </c>
      <c r="F6">
        <v>0</v>
      </c>
      <c r="G6">
        <f t="shared" si="0"/>
        <v>11.110000000000001</v>
      </c>
    </row>
    <row r="7" spans="1:7" ht="12.75">
      <c r="A7" t="s">
        <v>84</v>
      </c>
      <c r="B7">
        <f>1+1+3+0.8+0.8</f>
        <v>6.6</v>
      </c>
      <c r="C7">
        <v>5</v>
      </c>
      <c r="D7">
        <v>6</v>
      </c>
      <c r="E7">
        <v>2</v>
      </c>
      <c r="G7">
        <f t="shared" si="0"/>
        <v>7.34</v>
      </c>
    </row>
    <row r="8" spans="1:7" ht="12.75">
      <c r="A8" t="s">
        <v>58</v>
      </c>
      <c r="B8">
        <f>1+1.5+3+1+0.8+0.8+0.8</f>
        <v>8.9</v>
      </c>
      <c r="C8">
        <v>7</v>
      </c>
      <c r="D8">
        <v>5</v>
      </c>
      <c r="E8">
        <v>1</v>
      </c>
      <c r="G8">
        <f t="shared" si="0"/>
        <v>7.3100000000000005</v>
      </c>
    </row>
    <row r="9" spans="1:7" ht="12.75">
      <c r="A9" t="s">
        <v>39</v>
      </c>
      <c r="B9">
        <f>1.5+1+4-0.8</f>
        <v>5.7</v>
      </c>
      <c r="C9">
        <v>3</v>
      </c>
      <c r="D9">
        <v>4</v>
      </c>
      <c r="E9">
        <v>6</v>
      </c>
      <c r="F9">
        <v>0</v>
      </c>
      <c r="G9">
        <f t="shared" si="0"/>
        <v>6.940000000000001</v>
      </c>
    </row>
    <row r="10" spans="1:7" ht="12.75">
      <c r="A10" t="s">
        <v>79</v>
      </c>
      <c r="B10">
        <f>3</f>
        <v>3</v>
      </c>
      <c r="C10">
        <v>1</v>
      </c>
      <c r="D10">
        <v>3</v>
      </c>
      <c r="E10">
        <v>4</v>
      </c>
      <c r="G10">
        <f t="shared" si="0"/>
        <v>4.5</v>
      </c>
    </row>
    <row r="11" spans="1:7" ht="12.75">
      <c r="A11" t="s">
        <v>114</v>
      </c>
      <c r="B11">
        <f>0.75+1-0.8</f>
        <v>0.95</v>
      </c>
      <c r="C11">
        <v>2</v>
      </c>
      <c r="D11">
        <v>5</v>
      </c>
      <c r="E11">
        <v>1</v>
      </c>
      <c r="F11">
        <v>0</v>
      </c>
      <c r="G11">
        <f t="shared" si="0"/>
        <v>4.03</v>
      </c>
    </row>
    <row r="12" spans="1:7" ht="12.75">
      <c r="A12" t="s">
        <v>113</v>
      </c>
      <c r="B12">
        <f>0.75+1-0.8+1</f>
        <v>1.95</v>
      </c>
      <c r="C12">
        <v>3</v>
      </c>
      <c r="D12">
        <v>4</v>
      </c>
      <c r="F12">
        <v>0</v>
      </c>
      <c r="G12">
        <f t="shared" si="0"/>
        <v>3.46</v>
      </c>
    </row>
    <row r="13" spans="1:7" ht="12.75">
      <c r="A13" t="s">
        <v>91</v>
      </c>
      <c r="B13">
        <f>0.8+0.8+1+0.8+0.8-0.8+0.8</f>
        <v>4.2</v>
      </c>
      <c r="C13">
        <v>6</v>
      </c>
      <c r="D13">
        <v>1</v>
      </c>
      <c r="G13">
        <f t="shared" si="0"/>
        <v>2.4400000000000004</v>
      </c>
    </row>
    <row r="14" spans="1:7" ht="12.75">
      <c r="A14" t="s">
        <v>63</v>
      </c>
      <c r="B14">
        <f>0.375+1.5-0.8</f>
        <v>1.075</v>
      </c>
      <c r="C14">
        <v>2</v>
      </c>
      <c r="E14">
        <v>5</v>
      </c>
      <c r="G14">
        <f t="shared" si="0"/>
        <v>2.1</v>
      </c>
    </row>
    <row r="15" spans="1:7" ht="12.75">
      <c r="A15" t="s">
        <v>52</v>
      </c>
      <c r="B15">
        <f>0.375+0.75</f>
        <v>1.125</v>
      </c>
      <c r="C15">
        <v>2</v>
      </c>
      <c r="D15">
        <v>1</v>
      </c>
      <c r="E15">
        <v>2</v>
      </c>
      <c r="F15">
        <v>0</v>
      </c>
      <c r="G15">
        <f t="shared" si="0"/>
        <v>1.79</v>
      </c>
    </row>
    <row r="16" spans="1:7" ht="12.75">
      <c r="A16" t="s">
        <v>110</v>
      </c>
      <c r="B16">
        <f>1</f>
        <v>1</v>
      </c>
      <c r="C16">
        <v>1</v>
      </c>
      <c r="D16">
        <v>1</v>
      </c>
      <c r="E16">
        <v>2</v>
      </c>
      <c r="G16">
        <f t="shared" si="0"/>
        <v>1.7200000000000002</v>
      </c>
    </row>
    <row r="17" spans="1:7" ht="12.75">
      <c r="A17" t="s">
        <v>54</v>
      </c>
      <c r="B17">
        <f>1.5</f>
        <v>1.5</v>
      </c>
      <c r="C17">
        <v>1</v>
      </c>
      <c r="D17">
        <v>1</v>
      </c>
      <c r="E17">
        <v>1</v>
      </c>
      <c r="G17">
        <f t="shared" si="0"/>
        <v>1.59</v>
      </c>
    </row>
    <row r="18" spans="1:7" ht="12.75">
      <c r="A18" t="s">
        <v>115</v>
      </c>
      <c r="B18">
        <f>0.75+1-0.8</f>
        <v>0.95</v>
      </c>
      <c r="C18">
        <v>2</v>
      </c>
      <c r="D18">
        <v>1</v>
      </c>
      <c r="F18">
        <v>0</v>
      </c>
      <c r="G18">
        <f t="shared" si="0"/>
        <v>1.06</v>
      </c>
    </row>
    <row r="19" spans="1:7" ht="12.75">
      <c r="A19" t="s">
        <v>121</v>
      </c>
      <c r="B19">
        <f>-0.8+1</f>
        <v>0.19999999999999996</v>
      </c>
      <c r="C19">
        <v>1</v>
      </c>
      <c r="E19">
        <v>2</v>
      </c>
      <c r="G19">
        <f t="shared" si="0"/>
        <v>0.74</v>
      </c>
    </row>
    <row r="20" spans="1:7" ht="12.75">
      <c r="A20" t="s">
        <v>56</v>
      </c>
      <c r="B20">
        <f>1-0.8</f>
        <v>0.19999999999999996</v>
      </c>
      <c r="C20">
        <v>1</v>
      </c>
      <c r="E20">
        <v>2</v>
      </c>
      <c r="G20">
        <f t="shared" si="0"/>
        <v>0.74</v>
      </c>
    </row>
    <row r="21" spans="1:7" ht="12.75">
      <c r="A21" t="s">
        <v>80</v>
      </c>
      <c r="B21">
        <f>0.8+0.8+0.8-0.8</f>
        <v>1.6000000000000003</v>
      </c>
      <c r="C21">
        <v>3</v>
      </c>
      <c r="G21">
        <f t="shared" si="0"/>
        <v>0.6800000000000002</v>
      </c>
    </row>
    <row r="22" spans="1:7" ht="12.75">
      <c r="A22" t="s">
        <v>33</v>
      </c>
      <c r="B22">
        <f>-0.8+1</f>
        <v>0.19999999999999996</v>
      </c>
      <c r="C22">
        <v>1</v>
      </c>
      <c r="E22">
        <v>1</v>
      </c>
      <c r="G22">
        <f t="shared" si="0"/>
        <v>0.41000000000000003</v>
      </c>
    </row>
    <row r="23" spans="1:7" ht="12.75">
      <c r="A23" t="s">
        <v>57</v>
      </c>
      <c r="B23">
        <f>1-0.8</f>
        <v>0.19999999999999996</v>
      </c>
      <c r="C23">
        <v>1</v>
      </c>
      <c r="E23">
        <v>1</v>
      </c>
      <c r="G23">
        <f t="shared" si="0"/>
        <v>0.41000000000000003</v>
      </c>
    </row>
    <row r="24" spans="1:7" ht="12.75">
      <c r="A24" t="s">
        <v>23</v>
      </c>
      <c r="B24">
        <f>0.8+0.8-0.8</f>
        <v>0.8</v>
      </c>
      <c r="C24">
        <v>2</v>
      </c>
      <c r="G24">
        <f t="shared" si="0"/>
        <v>0.34</v>
      </c>
    </row>
    <row r="25" spans="1:7" ht="12.75">
      <c r="A25" t="s">
        <v>62</v>
      </c>
      <c r="B25">
        <f>0.375-0.8</f>
        <v>-0.42500000000000004</v>
      </c>
      <c r="C25">
        <v>1</v>
      </c>
      <c r="E25">
        <v>1</v>
      </c>
      <c r="G25">
        <f t="shared" si="0"/>
        <v>0.16</v>
      </c>
    </row>
    <row r="26" spans="1:7" ht="12.75">
      <c r="A26" t="s">
        <v>37</v>
      </c>
      <c r="B26">
        <f>-0.8</f>
        <v>-0.8</v>
      </c>
      <c r="D26">
        <v>1</v>
      </c>
      <c r="E26">
        <v>2</v>
      </c>
      <c r="G26">
        <f t="shared" si="0"/>
        <v>0</v>
      </c>
    </row>
    <row r="27" spans="1:7" ht="12.75">
      <c r="A27" t="s">
        <v>109</v>
      </c>
      <c r="B27">
        <v>-0.8</v>
      </c>
      <c r="E27">
        <v>2</v>
      </c>
      <c r="G27">
        <f t="shared" si="0"/>
        <v>0</v>
      </c>
    </row>
    <row r="28" spans="1:7" ht="12.75">
      <c r="A28" t="s">
        <v>88</v>
      </c>
      <c r="B28">
        <f>-0.8</f>
        <v>-0.8</v>
      </c>
      <c r="D28">
        <v>1</v>
      </c>
      <c r="E28">
        <v>1</v>
      </c>
      <c r="G28">
        <f t="shared" si="0"/>
        <v>0</v>
      </c>
    </row>
    <row r="29" spans="1:7" ht="12.75">
      <c r="A29" t="s">
        <v>29</v>
      </c>
      <c r="B29">
        <v>-0.8</v>
      </c>
      <c r="E29">
        <v>1</v>
      </c>
      <c r="G29">
        <f t="shared" si="0"/>
        <v>0</v>
      </c>
    </row>
    <row r="30" spans="1:7" ht="12.75">
      <c r="A30" t="s">
        <v>30</v>
      </c>
      <c r="B30">
        <v>-0.8</v>
      </c>
      <c r="E30">
        <v>1</v>
      </c>
      <c r="G30">
        <f t="shared" si="0"/>
        <v>0</v>
      </c>
    </row>
    <row r="31" spans="1:7" ht="12.75">
      <c r="A31" t="s">
        <v>34</v>
      </c>
      <c r="B31">
        <v>-0.8</v>
      </c>
      <c r="E31">
        <v>1</v>
      </c>
      <c r="G31">
        <f t="shared" si="0"/>
        <v>0</v>
      </c>
    </row>
    <row r="32" spans="1:7" ht="12.75">
      <c r="A32" t="s">
        <v>77</v>
      </c>
      <c r="B32">
        <v>-0.8</v>
      </c>
      <c r="E32">
        <v>1</v>
      </c>
      <c r="G32">
        <f t="shared" si="0"/>
        <v>0</v>
      </c>
    </row>
    <row r="33" spans="1:7" ht="12.75">
      <c r="A33" t="s">
        <v>1</v>
      </c>
      <c r="B33">
        <v>-0.8</v>
      </c>
      <c r="E33">
        <v>1</v>
      </c>
      <c r="G33">
        <f t="shared" si="0"/>
        <v>0</v>
      </c>
    </row>
    <row r="34" spans="1:7" ht="12.75">
      <c r="A34" t="s">
        <v>2</v>
      </c>
      <c r="B34">
        <v>-0.8</v>
      </c>
      <c r="E34">
        <v>1</v>
      </c>
      <c r="G34">
        <f t="shared" si="0"/>
        <v>0</v>
      </c>
    </row>
    <row r="35" spans="1:7" ht="12.75">
      <c r="A35" t="s">
        <v>90</v>
      </c>
      <c r="B35">
        <f>-0.8+0.8</f>
        <v>0</v>
      </c>
      <c r="C35">
        <v>1</v>
      </c>
      <c r="G35">
        <f t="shared" si="0"/>
        <v>0</v>
      </c>
    </row>
    <row r="36" spans="1:7" ht="12.75">
      <c r="A36" t="s">
        <v>51</v>
      </c>
      <c r="B36">
        <f>0.8-0.8</f>
        <v>0</v>
      </c>
      <c r="C36">
        <v>1</v>
      </c>
      <c r="G36">
        <f t="shared" si="0"/>
        <v>0</v>
      </c>
    </row>
    <row r="37" spans="1:7" ht="12.75">
      <c r="A37" t="s">
        <v>17</v>
      </c>
      <c r="B37">
        <f>0.375-0.8</f>
        <v>-0.42500000000000004</v>
      </c>
      <c r="C37">
        <v>1</v>
      </c>
      <c r="G37">
        <f t="shared" si="0"/>
        <v>-0.17</v>
      </c>
    </row>
    <row r="54" ht="12.75">
      <c r="A54" s="1"/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9.28125" style="0" customWidth="1"/>
  </cols>
  <sheetData>
    <row r="1" spans="1:7" ht="12.75">
      <c r="A1" t="s">
        <v>92</v>
      </c>
      <c r="B1">
        <f>2+2+1.5+1.5+1.5+1.5+1.5+1+4+1.5+3+3+1+1+1+1+3+1.5+1+0.8</f>
        <v>34.3</v>
      </c>
      <c r="C1">
        <v>20</v>
      </c>
      <c r="D1">
        <v>4</v>
      </c>
      <c r="E1">
        <v>9</v>
      </c>
      <c r="F1">
        <v>1</v>
      </c>
      <c r="G1">
        <f aca="true" t="shared" si="0" ref="G1:G22">IF((F1&gt;0),B1+3,B1/2.5)+(C1-1)*0.111+D1*0.35+E1*0.222</f>
        <v>42.806999999999995</v>
      </c>
    </row>
    <row r="2" spans="1:7" ht="12.75">
      <c r="A2" t="s">
        <v>16</v>
      </c>
      <c r="B2">
        <f>1+2+2+1+1.5+1+4+2+2+2+1+1+1+1+1+0.8+0.8</f>
        <v>25.1</v>
      </c>
      <c r="C2">
        <v>17</v>
      </c>
      <c r="D2">
        <v>3</v>
      </c>
      <c r="E2">
        <v>8</v>
      </c>
      <c r="F2">
        <v>1</v>
      </c>
      <c r="G2">
        <f t="shared" si="0"/>
        <v>32.702000000000005</v>
      </c>
    </row>
    <row r="3" spans="1:7" ht="12.75">
      <c r="A3" t="s">
        <v>93</v>
      </c>
      <c r="B3">
        <f>3+1+2+2+1+4+1+1+1+1+0.8+0.8+0.8+0.8</f>
        <v>20.200000000000003</v>
      </c>
      <c r="C3">
        <v>14</v>
      </c>
      <c r="D3">
        <v>3</v>
      </c>
      <c r="E3">
        <v>5</v>
      </c>
      <c r="F3">
        <v>1</v>
      </c>
      <c r="G3">
        <f t="shared" si="0"/>
        <v>26.803000000000004</v>
      </c>
    </row>
    <row r="4" spans="1:7" ht="12.75">
      <c r="A4" t="s">
        <v>28</v>
      </c>
      <c r="B4">
        <f>1+4+2+1+1+1</f>
        <v>10</v>
      </c>
      <c r="C4">
        <v>6</v>
      </c>
      <c r="E4">
        <v>10</v>
      </c>
      <c r="F4">
        <v>1</v>
      </c>
      <c r="G4">
        <f t="shared" si="0"/>
        <v>15.775</v>
      </c>
    </row>
    <row r="5" spans="1:7" ht="12.75">
      <c r="A5" t="s">
        <v>116</v>
      </c>
      <c r="B5">
        <f>2+1+4+2+1+1</f>
        <v>11</v>
      </c>
      <c r="C5">
        <v>6</v>
      </c>
      <c r="E5">
        <v>5</v>
      </c>
      <c r="F5">
        <v>1</v>
      </c>
      <c r="G5">
        <f t="shared" si="0"/>
        <v>15.665</v>
      </c>
    </row>
    <row r="6" spans="1:7" ht="12.75">
      <c r="A6" t="s">
        <v>85</v>
      </c>
      <c r="B6">
        <f>2+2+1+2+1+1+0.8+1</f>
        <v>10.8</v>
      </c>
      <c r="C6">
        <v>8</v>
      </c>
      <c r="E6">
        <v>5</v>
      </c>
      <c r="F6">
        <v>0</v>
      </c>
      <c r="G6">
        <f t="shared" si="0"/>
        <v>6.207000000000001</v>
      </c>
    </row>
    <row r="7" spans="1:7" ht="12.75">
      <c r="A7" t="s">
        <v>118</v>
      </c>
      <c r="B7">
        <f>1+2+1+0.8+0.8</f>
        <v>5.6</v>
      </c>
      <c r="C7">
        <v>5</v>
      </c>
      <c r="E7">
        <v>2</v>
      </c>
      <c r="G7">
        <f t="shared" si="0"/>
        <v>3.1279999999999997</v>
      </c>
    </row>
    <row r="8" spans="1:7" ht="12.75">
      <c r="A8" t="s">
        <v>27</v>
      </c>
      <c r="B8">
        <f>3+1-0.8</f>
        <v>3.2</v>
      </c>
      <c r="C8">
        <v>2</v>
      </c>
      <c r="D8">
        <v>1</v>
      </c>
      <c r="E8">
        <v>6</v>
      </c>
      <c r="F8">
        <v>0</v>
      </c>
      <c r="G8">
        <f t="shared" si="0"/>
        <v>3.0730000000000004</v>
      </c>
    </row>
    <row r="9" spans="1:7" ht="12.75">
      <c r="A9" t="s">
        <v>4</v>
      </c>
      <c r="B9">
        <f>1+0.8+0.8+0.8</f>
        <v>3.4000000000000004</v>
      </c>
      <c r="C9">
        <v>4</v>
      </c>
      <c r="D9">
        <v>2</v>
      </c>
      <c r="E9">
        <v>1</v>
      </c>
      <c r="G9">
        <f t="shared" si="0"/>
        <v>2.6149999999999998</v>
      </c>
    </row>
    <row r="10" spans="1:7" ht="12.75">
      <c r="A10" t="s">
        <v>94</v>
      </c>
      <c r="B10">
        <f>0.8+0.8+0.8+0.8-0.8+0.8</f>
        <v>3.2</v>
      </c>
      <c r="C10">
        <v>5</v>
      </c>
      <c r="G10">
        <f t="shared" si="0"/>
        <v>1.724</v>
      </c>
    </row>
    <row r="11" spans="1:7" ht="12.75">
      <c r="A11" t="s">
        <v>5</v>
      </c>
      <c r="B11">
        <f>1-0.8</f>
        <v>0.19999999999999996</v>
      </c>
      <c r="C11">
        <v>1</v>
      </c>
      <c r="D11">
        <v>3</v>
      </c>
      <c r="E11">
        <v>1</v>
      </c>
      <c r="G11">
        <f t="shared" si="0"/>
        <v>1.3519999999999999</v>
      </c>
    </row>
    <row r="12" spans="1:7" ht="12.75">
      <c r="A12" t="s">
        <v>3</v>
      </c>
      <c r="B12">
        <f>1</f>
        <v>1</v>
      </c>
      <c r="C12">
        <v>1</v>
      </c>
      <c r="E12">
        <v>4</v>
      </c>
      <c r="G12">
        <f t="shared" si="0"/>
        <v>1.288</v>
      </c>
    </row>
    <row r="13" spans="1:7" ht="12.75">
      <c r="A13" t="s">
        <v>35</v>
      </c>
      <c r="B13">
        <f>1+1-0.8+1</f>
        <v>2.2</v>
      </c>
      <c r="C13">
        <v>3</v>
      </c>
      <c r="G13">
        <f t="shared" si="0"/>
        <v>1.102</v>
      </c>
    </row>
    <row r="14" spans="1:7" ht="12.75">
      <c r="A14" t="s">
        <v>53</v>
      </c>
      <c r="B14">
        <f>1-0.8</f>
        <v>0.19999999999999996</v>
      </c>
      <c r="C14">
        <v>1</v>
      </c>
      <c r="D14">
        <v>1</v>
      </c>
      <c r="E14">
        <v>2</v>
      </c>
      <c r="G14">
        <f t="shared" si="0"/>
        <v>0.8739999999999999</v>
      </c>
    </row>
    <row r="15" spans="1:7" ht="12.75">
      <c r="A15" t="s">
        <v>138</v>
      </c>
      <c r="B15">
        <f>0.8+0.8+0.8-0.8</f>
        <v>1.6000000000000003</v>
      </c>
      <c r="C15">
        <v>3</v>
      </c>
      <c r="G15">
        <f t="shared" si="0"/>
        <v>0.8620000000000001</v>
      </c>
    </row>
    <row r="16" spans="1:7" ht="12.75">
      <c r="A16" t="s">
        <v>139</v>
      </c>
      <c r="B16">
        <f>1</f>
        <v>1</v>
      </c>
      <c r="C16">
        <v>1</v>
      </c>
      <c r="E16">
        <v>2</v>
      </c>
      <c r="G16">
        <f t="shared" si="0"/>
        <v>0.8440000000000001</v>
      </c>
    </row>
    <row r="17" spans="1:7" ht="12.75">
      <c r="A17" t="s">
        <v>65</v>
      </c>
      <c r="B17">
        <f>1-0.8</f>
        <v>0.19999999999999996</v>
      </c>
      <c r="C17">
        <v>1</v>
      </c>
      <c r="E17">
        <v>2</v>
      </c>
      <c r="G17">
        <f t="shared" si="0"/>
        <v>0.524</v>
      </c>
    </row>
    <row r="18" spans="1:7" ht="12.75">
      <c r="A18" t="s">
        <v>48</v>
      </c>
      <c r="B18">
        <f>2-0.8</f>
        <v>1.2</v>
      </c>
      <c r="C18">
        <v>1</v>
      </c>
      <c r="G18">
        <f t="shared" si="0"/>
        <v>0.48</v>
      </c>
    </row>
    <row r="19" spans="1:7" ht="12.75">
      <c r="A19" t="s">
        <v>24</v>
      </c>
      <c r="B19">
        <f>0.8+0.8-0.8</f>
        <v>0.8</v>
      </c>
      <c r="C19">
        <v>2</v>
      </c>
      <c r="G19">
        <f t="shared" si="0"/>
        <v>0.431</v>
      </c>
    </row>
    <row r="20" spans="1:7" ht="12.75">
      <c r="A20" t="s">
        <v>64</v>
      </c>
      <c r="B20">
        <f>1-0.8</f>
        <v>0.19999999999999996</v>
      </c>
      <c r="C20">
        <v>1</v>
      </c>
      <c r="E20">
        <v>1</v>
      </c>
      <c r="G20">
        <f t="shared" si="0"/>
        <v>0.302</v>
      </c>
    </row>
    <row r="21" spans="1:7" ht="12.75">
      <c r="A21" t="s">
        <v>101</v>
      </c>
      <c r="B21">
        <f>0.8-0.8</f>
        <v>0</v>
      </c>
      <c r="C21">
        <v>1</v>
      </c>
      <c r="G21">
        <f t="shared" si="0"/>
        <v>0</v>
      </c>
    </row>
    <row r="22" spans="1:7" ht="12.75">
      <c r="A22" t="s">
        <v>102</v>
      </c>
      <c r="B22">
        <f>0.8-0.8</f>
        <v>0</v>
      </c>
      <c r="C22">
        <v>1</v>
      </c>
      <c r="G22">
        <f t="shared" si="0"/>
        <v>0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3.8515625" style="0" customWidth="1"/>
  </cols>
  <sheetData>
    <row r="1" spans="1:4" ht="12.75">
      <c r="A1" t="s">
        <v>95</v>
      </c>
      <c r="B1">
        <f>3+1.5+2+1.5+1.5+1.5+3+3+1+4+1</f>
        <v>23</v>
      </c>
      <c r="C1">
        <v>11</v>
      </c>
      <c r="D1">
        <f aca="true" t="shared" si="0" ref="D1:D10">B1+(0.11*(C1-1))</f>
        <v>24.1</v>
      </c>
    </row>
    <row r="2" spans="1:4" ht="12.75">
      <c r="A2" t="s">
        <v>126</v>
      </c>
      <c r="B2">
        <f>1+3+1+1+1.5+3+1+4+1</f>
        <v>16.5</v>
      </c>
      <c r="C2">
        <v>9</v>
      </c>
      <c r="D2">
        <f t="shared" si="0"/>
        <v>17.38</v>
      </c>
    </row>
    <row r="3" spans="1:4" ht="12.75">
      <c r="A3" t="s">
        <v>123</v>
      </c>
      <c r="B3">
        <f>2+2+1+1+4</f>
        <v>10</v>
      </c>
      <c r="C3">
        <v>5</v>
      </c>
      <c r="D3">
        <f t="shared" si="0"/>
        <v>10.44</v>
      </c>
    </row>
    <row r="4" spans="1:4" ht="12.75">
      <c r="A4" t="s">
        <v>128</v>
      </c>
      <c r="B4">
        <f>0.375+0.75+1+1+4+1</f>
        <v>8.125</v>
      </c>
      <c r="C4">
        <v>6</v>
      </c>
      <c r="D4">
        <f t="shared" si="0"/>
        <v>8.675</v>
      </c>
    </row>
    <row r="5" spans="1:4" ht="12.75">
      <c r="A5" t="s">
        <v>7</v>
      </c>
      <c r="B5">
        <f>1+2+1</f>
        <v>4</v>
      </c>
      <c r="C5">
        <v>3</v>
      </c>
      <c r="D5">
        <f t="shared" si="0"/>
        <v>4.22</v>
      </c>
    </row>
    <row r="6" spans="1:4" ht="12.75">
      <c r="A6" t="s">
        <v>78</v>
      </c>
      <c r="B6">
        <f>4</f>
        <v>4</v>
      </c>
      <c r="C6">
        <v>1</v>
      </c>
      <c r="D6">
        <f t="shared" si="0"/>
        <v>4</v>
      </c>
    </row>
    <row r="7" spans="1:4" ht="12.75">
      <c r="A7" t="s">
        <v>82</v>
      </c>
      <c r="B7">
        <f>1+2</f>
        <v>3</v>
      </c>
      <c r="C7">
        <v>2</v>
      </c>
      <c r="D7">
        <f t="shared" si="0"/>
        <v>3.11</v>
      </c>
    </row>
    <row r="8" spans="1:4" ht="12.75">
      <c r="A8" t="s">
        <v>122</v>
      </c>
      <c r="B8">
        <f>2</f>
        <v>2</v>
      </c>
      <c r="C8">
        <v>1</v>
      </c>
      <c r="D8">
        <f t="shared" si="0"/>
        <v>2</v>
      </c>
    </row>
    <row r="9" spans="1:4" ht="12.75">
      <c r="A9" t="s">
        <v>127</v>
      </c>
      <c r="B9">
        <f>0.375+0.75</f>
        <v>1.125</v>
      </c>
      <c r="C9">
        <v>2</v>
      </c>
      <c r="D9">
        <f t="shared" si="0"/>
        <v>1.235</v>
      </c>
    </row>
    <row r="10" spans="1:4" ht="12.75">
      <c r="A10" t="s">
        <v>131</v>
      </c>
      <c r="B10">
        <f>0.375+0.75</f>
        <v>1.125</v>
      </c>
      <c r="C10">
        <v>2</v>
      </c>
      <c r="D10">
        <f t="shared" si="0"/>
        <v>1.235</v>
      </c>
    </row>
    <row r="11" spans="1:4" ht="12.75">
      <c r="A11" t="s">
        <v>130</v>
      </c>
      <c r="B11">
        <f>1+1+1</f>
        <v>3</v>
      </c>
      <c r="C11">
        <v>3</v>
      </c>
      <c r="D11">
        <f>B11/3.3+(0.11*(C11-1))</f>
        <v>1.1290909090909091</v>
      </c>
    </row>
    <row r="12" spans="1:4" ht="12.75">
      <c r="A12" t="s">
        <v>125</v>
      </c>
      <c r="B12">
        <f>1</f>
        <v>1</v>
      </c>
      <c r="C12">
        <v>1</v>
      </c>
      <c r="D12">
        <f>B12+(0.11*(C12-1))</f>
        <v>1</v>
      </c>
    </row>
    <row r="13" spans="1:4" ht="12.75">
      <c r="A13" t="s">
        <v>6</v>
      </c>
      <c r="B13">
        <f>1</f>
        <v>1</v>
      </c>
      <c r="C13">
        <v>1</v>
      </c>
      <c r="D13">
        <f>B13+(0.11*(C13-1))</f>
        <v>1</v>
      </c>
    </row>
    <row r="14" spans="1:4" ht="12.75">
      <c r="A14" t="s">
        <v>124</v>
      </c>
      <c r="B14">
        <f>0.75</f>
        <v>0.75</v>
      </c>
      <c r="C14">
        <v>1</v>
      </c>
      <c r="D14">
        <f>B14+(0.11*(C14-1))</f>
        <v>0.75</v>
      </c>
    </row>
    <row r="15" spans="1:4" ht="12.75">
      <c r="A15" t="s">
        <v>50</v>
      </c>
      <c r="B15">
        <f>1.5</f>
        <v>1.5</v>
      </c>
      <c r="C15">
        <v>1</v>
      </c>
      <c r="D15">
        <f>B15/3.3+(0.11*(C15-1))</f>
        <v>0.4545454545454546</v>
      </c>
    </row>
    <row r="16" spans="1:4" ht="12.75">
      <c r="A16" t="s">
        <v>129</v>
      </c>
      <c r="B16">
        <f>0.375</f>
        <v>0.375</v>
      </c>
      <c r="C16">
        <v>1</v>
      </c>
      <c r="D16">
        <f>B16+(0.11*(C16-1))</f>
        <v>0.375</v>
      </c>
    </row>
    <row r="17" spans="1:4" ht="12.75">
      <c r="A17" t="s">
        <v>119</v>
      </c>
      <c r="B17">
        <f>1</f>
        <v>1</v>
      </c>
      <c r="C17">
        <v>1</v>
      </c>
      <c r="D17">
        <f>B17/3.3+(0.11*(C17-1))</f>
        <v>0.30303030303030304</v>
      </c>
    </row>
    <row r="18" spans="1:4" ht="12.75">
      <c r="A18" t="s">
        <v>81</v>
      </c>
      <c r="B18">
        <f>1</f>
        <v>1</v>
      </c>
      <c r="C18">
        <v>1</v>
      </c>
      <c r="D18">
        <f>B18/3.3+(0.11*(C18-1))</f>
        <v>0.30303030303030304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6.28125" style="0" customWidth="1"/>
    <col min="2" max="3" width="8.8515625" style="0" customWidth="1"/>
    <col min="4" max="4" width="9.28125" style="0" customWidth="1"/>
  </cols>
  <sheetData>
    <row r="1" spans="1:4" ht="12.75">
      <c r="A1" t="s">
        <v>69</v>
      </c>
      <c r="B1">
        <f>1+2+1.5+1.5+1.5+3+3+1+4</f>
        <v>18.5</v>
      </c>
      <c r="C1">
        <v>9</v>
      </c>
      <c r="D1">
        <f aca="true" t="shared" si="0" ref="D1:D17">B1+(0.11*(C1-1))</f>
        <v>19.38</v>
      </c>
    </row>
    <row r="2" spans="1:4" ht="12.75">
      <c r="A2" t="s">
        <v>96</v>
      </c>
      <c r="B2">
        <f>2+1+1.5+1.5+1.5+1.5+3+1+4+1</f>
        <v>18</v>
      </c>
      <c r="C2">
        <v>10</v>
      </c>
      <c r="D2">
        <f t="shared" si="0"/>
        <v>18.99</v>
      </c>
    </row>
    <row r="3" spans="1:4" ht="12.75">
      <c r="A3" t="s">
        <v>40</v>
      </c>
      <c r="B3">
        <f>3+2+0.375+1+2+4</f>
        <v>12.375</v>
      </c>
      <c r="C3">
        <v>6</v>
      </c>
      <c r="D3">
        <f t="shared" si="0"/>
        <v>12.925</v>
      </c>
    </row>
    <row r="4" spans="1:4" ht="12.75">
      <c r="A4" t="s">
        <v>75</v>
      </c>
      <c r="B4">
        <f>1+2+4</f>
        <v>7</v>
      </c>
      <c r="C4">
        <v>3</v>
      </c>
      <c r="D4">
        <f t="shared" si="0"/>
        <v>7.22</v>
      </c>
    </row>
    <row r="5" spans="1:4" ht="12.75">
      <c r="A5" t="s">
        <v>36</v>
      </c>
      <c r="B5">
        <f>1+4+1</f>
        <v>6</v>
      </c>
      <c r="C5">
        <v>3</v>
      </c>
      <c r="D5">
        <f t="shared" si="0"/>
        <v>6.22</v>
      </c>
    </row>
    <row r="6" spans="1:4" ht="12.75">
      <c r="A6" t="s">
        <v>14</v>
      </c>
      <c r="B6">
        <f>0+2+1+1+1</f>
        <v>5</v>
      </c>
      <c r="C6">
        <v>5</v>
      </c>
      <c r="D6">
        <f t="shared" si="0"/>
        <v>5.44</v>
      </c>
    </row>
    <row r="7" spans="1:4" ht="12.75">
      <c r="A7" t="s">
        <v>42</v>
      </c>
      <c r="B7">
        <f>2+1+1</f>
        <v>4</v>
      </c>
      <c r="C7">
        <v>3</v>
      </c>
      <c r="D7">
        <f t="shared" si="0"/>
        <v>4.22</v>
      </c>
    </row>
    <row r="8" spans="1:4" ht="12.75">
      <c r="A8" t="s">
        <v>68</v>
      </c>
      <c r="B8">
        <f>1+2</f>
        <v>3</v>
      </c>
      <c r="C8">
        <v>2</v>
      </c>
      <c r="D8">
        <f t="shared" si="0"/>
        <v>3.11</v>
      </c>
    </row>
    <row r="9" spans="1:4" ht="12.75">
      <c r="A9" t="s">
        <v>49</v>
      </c>
      <c r="B9">
        <f>2+1</f>
        <v>3</v>
      </c>
      <c r="C9">
        <v>2</v>
      </c>
      <c r="D9">
        <f t="shared" si="0"/>
        <v>3.11</v>
      </c>
    </row>
    <row r="10" spans="1:4" ht="12.75">
      <c r="A10" t="s">
        <v>70</v>
      </c>
      <c r="B10">
        <f>1+0+1</f>
        <v>2</v>
      </c>
      <c r="C10">
        <v>3</v>
      </c>
      <c r="D10">
        <f t="shared" si="0"/>
        <v>2.22</v>
      </c>
    </row>
    <row r="11" spans="1:4" ht="12.75">
      <c r="A11" t="s">
        <v>41</v>
      </c>
      <c r="B11">
        <f>2</f>
        <v>2</v>
      </c>
      <c r="C11">
        <v>1</v>
      </c>
      <c r="D11">
        <f t="shared" si="0"/>
        <v>2</v>
      </c>
    </row>
    <row r="12" spans="1:4" ht="12.75">
      <c r="A12" t="s">
        <v>59</v>
      </c>
      <c r="B12">
        <f>2</f>
        <v>2</v>
      </c>
      <c r="C12">
        <v>1</v>
      </c>
      <c r="D12">
        <f t="shared" si="0"/>
        <v>2</v>
      </c>
    </row>
    <row r="13" spans="1:4" ht="12.75">
      <c r="A13" t="s">
        <v>73</v>
      </c>
      <c r="B13">
        <f>0.375+0.75</f>
        <v>1.125</v>
      </c>
      <c r="C13">
        <v>2</v>
      </c>
      <c r="D13">
        <f t="shared" si="0"/>
        <v>1.235</v>
      </c>
    </row>
    <row r="14" spans="1:4" ht="12.75">
      <c r="A14" t="s">
        <v>74</v>
      </c>
      <c r="B14">
        <f>0.375+0.75</f>
        <v>1.125</v>
      </c>
      <c r="C14">
        <v>2</v>
      </c>
      <c r="D14">
        <f t="shared" si="0"/>
        <v>1.235</v>
      </c>
    </row>
    <row r="15" spans="1:4" ht="12.75">
      <c r="A15" t="s">
        <v>71</v>
      </c>
      <c r="B15">
        <f>0.375+0.75</f>
        <v>1.125</v>
      </c>
      <c r="C15">
        <v>2</v>
      </c>
      <c r="D15">
        <f t="shared" si="0"/>
        <v>1.235</v>
      </c>
    </row>
    <row r="16" spans="1:4" ht="12.75">
      <c r="A16" t="s">
        <v>67</v>
      </c>
      <c r="B16">
        <f>1</f>
        <v>1</v>
      </c>
      <c r="C16">
        <v>1</v>
      </c>
      <c r="D16">
        <f t="shared" si="0"/>
        <v>1</v>
      </c>
    </row>
    <row r="17" spans="1:4" ht="12.75">
      <c r="A17" t="s">
        <v>66</v>
      </c>
      <c r="B17">
        <f>1</f>
        <v>1</v>
      </c>
      <c r="C17">
        <v>1</v>
      </c>
      <c r="D17">
        <f t="shared" si="0"/>
        <v>1</v>
      </c>
    </row>
    <row r="18" spans="1:4" ht="12.75">
      <c r="A18" t="s">
        <v>86</v>
      </c>
      <c r="B18">
        <f>1.5</f>
        <v>1.5</v>
      </c>
      <c r="C18">
        <v>1</v>
      </c>
      <c r="D18">
        <f>B18/3.3+(0.11*(C18-1))</f>
        <v>0.4545454545454546</v>
      </c>
    </row>
    <row r="19" spans="1:4" ht="12.75">
      <c r="A19" t="s">
        <v>61</v>
      </c>
      <c r="B19">
        <f>1</f>
        <v>1</v>
      </c>
      <c r="C19">
        <v>1</v>
      </c>
      <c r="D19">
        <f>B19/3.3+(0.11*(C19-1))</f>
        <v>0.30303030303030304</v>
      </c>
    </row>
    <row r="20" spans="1:4" ht="12.75">
      <c r="A20" s="2" t="s">
        <v>117</v>
      </c>
      <c r="B20">
        <f>1</f>
        <v>1</v>
      </c>
      <c r="C20">
        <v>1</v>
      </c>
      <c r="D20">
        <f>B20/3.3+(0.11*(C20-1))</f>
        <v>0.30303030303030304</v>
      </c>
    </row>
    <row r="21" spans="1:4" ht="12.75">
      <c r="A21" t="s">
        <v>72</v>
      </c>
      <c r="B21">
        <f>0.375</f>
        <v>0.375</v>
      </c>
      <c r="C21">
        <v>1</v>
      </c>
      <c r="D21">
        <f>B21/3.3+(0.11*(C21-1))</f>
        <v>0.11363636363636365</v>
      </c>
    </row>
    <row r="22" ht="12.75">
      <c r="D22">
        <f>B22+(0.11*(C22-1))</f>
        <v>-0.11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8.421875" style="0" customWidth="1"/>
  </cols>
  <sheetData>
    <row r="1" spans="1:4" ht="12.75">
      <c r="A1" t="s">
        <v>45</v>
      </c>
      <c r="B1">
        <f>3+1.5+1.5+1.5+1+3+1+4+1+1</f>
        <v>18.5</v>
      </c>
      <c r="C1">
        <v>10</v>
      </c>
      <c r="D1">
        <f aca="true" t="shared" si="0" ref="D1:D11">(B1+(0.11*(C1-1)))</f>
        <v>19.49</v>
      </c>
    </row>
    <row r="2" spans="1:4" ht="12.75">
      <c r="A2" t="s">
        <v>120</v>
      </c>
      <c r="B2">
        <f>3+1+2+1+1.5+1+4</f>
        <v>13.5</v>
      </c>
      <c r="C2">
        <v>7</v>
      </c>
      <c r="D2">
        <f t="shared" si="0"/>
        <v>14.16</v>
      </c>
    </row>
    <row r="3" spans="1:4" ht="12.75">
      <c r="A3" t="s">
        <v>32</v>
      </c>
      <c r="B3">
        <f>1+2+1+4+0+2</f>
        <v>10</v>
      </c>
      <c r="C3">
        <v>6</v>
      </c>
      <c r="D3">
        <f t="shared" si="0"/>
        <v>10.55</v>
      </c>
    </row>
    <row r="4" spans="1:4" ht="12.75">
      <c r="A4" t="s">
        <v>103</v>
      </c>
      <c r="B4">
        <f>1+2+2+4</f>
        <v>9</v>
      </c>
      <c r="C4">
        <v>4</v>
      </c>
      <c r="D4">
        <f t="shared" si="0"/>
        <v>9.33</v>
      </c>
    </row>
    <row r="5" spans="1:4" ht="12.75">
      <c r="A5" t="s">
        <v>46</v>
      </c>
      <c r="B5">
        <f>2+1.5+1.5+1</f>
        <v>6</v>
      </c>
      <c r="C5">
        <v>4</v>
      </c>
      <c r="D5">
        <f t="shared" si="0"/>
        <v>6.33</v>
      </c>
    </row>
    <row r="6" spans="1:4" ht="12.75">
      <c r="A6" t="s">
        <v>43</v>
      </c>
      <c r="B6">
        <f>2+1+2</f>
        <v>5</v>
      </c>
      <c r="C6">
        <v>3</v>
      </c>
      <c r="D6">
        <f t="shared" si="0"/>
        <v>5.22</v>
      </c>
    </row>
    <row r="7" spans="1:4" ht="12.75">
      <c r="A7" t="s">
        <v>44</v>
      </c>
      <c r="B7">
        <f>2+2</f>
        <v>4</v>
      </c>
      <c r="C7">
        <v>2</v>
      </c>
      <c r="D7">
        <f t="shared" si="0"/>
        <v>4.11</v>
      </c>
    </row>
    <row r="8" spans="1:4" ht="12.75">
      <c r="A8" t="s">
        <v>0</v>
      </c>
      <c r="B8">
        <f>4</f>
        <v>4</v>
      </c>
      <c r="C8">
        <v>1</v>
      </c>
      <c r="D8">
        <f t="shared" si="0"/>
        <v>4</v>
      </c>
    </row>
    <row r="9" spans="1:4" ht="12.75">
      <c r="A9" t="s">
        <v>20</v>
      </c>
      <c r="B9">
        <f>1+1.5</f>
        <v>2.5</v>
      </c>
      <c r="C9">
        <v>2</v>
      </c>
      <c r="D9">
        <f t="shared" si="0"/>
        <v>2.61</v>
      </c>
    </row>
    <row r="10" spans="1:4" ht="12.75">
      <c r="A10" t="s">
        <v>22</v>
      </c>
      <c r="B10">
        <f>1+1</f>
        <v>2</v>
      </c>
      <c r="C10">
        <v>2</v>
      </c>
      <c r="D10">
        <f t="shared" si="0"/>
        <v>2.11</v>
      </c>
    </row>
    <row r="11" spans="1:4" ht="12.75">
      <c r="A11" t="s">
        <v>60</v>
      </c>
      <c r="B11">
        <f>1+1</f>
        <v>2</v>
      </c>
      <c r="C11">
        <v>2</v>
      </c>
      <c r="D11">
        <f t="shared" si="0"/>
        <v>2.11</v>
      </c>
    </row>
    <row r="12" spans="1:4" ht="12.75">
      <c r="A12" t="s">
        <v>97</v>
      </c>
      <c r="B12">
        <f>3+0.375</f>
        <v>3.375</v>
      </c>
      <c r="C12">
        <v>2</v>
      </c>
      <c r="D12">
        <f>(B12/3.3+(0.11*(C12-1)))</f>
        <v>1.1327272727272728</v>
      </c>
    </row>
    <row r="13" spans="1:4" ht="12.75">
      <c r="A13" t="s">
        <v>8</v>
      </c>
      <c r="B13">
        <f>1</f>
        <v>1</v>
      </c>
      <c r="C13">
        <v>1</v>
      </c>
      <c r="D13">
        <f>(B13+(0.11*(C13-1)))</f>
        <v>1</v>
      </c>
    </row>
    <row r="14" spans="1:4" ht="12.75">
      <c r="A14" t="s">
        <v>19</v>
      </c>
      <c r="B14">
        <f>1</f>
        <v>1</v>
      </c>
      <c r="C14">
        <v>1</v>
      </c>
      <c r="D14">
        <f>(B14+(0.11*(C14-1)))</f>
        <v>1</v>
      </c>
    </row>
    <row r="15" spans="1:4" ht="12.75">
      <c r="A15" t="s">
        <v>105</v>
      </c>
      <c r="B15">
        <f>0.375+1</f>
        <v>1.375</v>
      </c>
      <c r="C15">
        <v>2</v>
      </c>
      <c r="D15">
        <f aca="true" t="shared" si="1" ref="D15:D21">(B15/3.3+(0.11*(C15-1)))</f>
        <v>0.5266666666666667</v>
      </c>
    </row>
    <row r="16" spans="1:4" ht="12.75">
      <c r="A16" t="s">
        <v>21</v>
      </c>
      <c r="B16">
        <f>1</f>
        <v>1</v>
      </c>
      <c r="C16">
        <v>1</v>
      </c>
      <c r="D16">
        <f t="shared" si="1"/>
        <v>0.30303030303030304</v>
      </c>
    </row>
    <row r="17" spans="1:4" ht="12.75">
      <c r="A17" t="s">
        <v>9</v>
      </c>
      <c r="B17">
        <f>1</f>
        <v>1</v>
      </c>
      <c r="C17">
        <v>1</v>
      </c>
      <c r="D17">
        <f t="shared" si="1"/>
        <v>0.30303030303030304</v>
      </c>
    </row>
    <row r="18" spans="1:4" ht="12.75">
      <c r="A18" t="s">
        <v>107</v>
      </c>
      <c r="B18">
        <f>0.375</f>
        <v>0.375</v>
      </c>
      <c r="C18">
        <v>1</v>
      </c>
      <c r="D18">
        <f t="shared" si="1"/>
        <v>0.11363636363636365</v>
      </c>
    </row>
    <row r="19" spans="1:4" ht="12.75">
      <c r="A19" t="s">
        <v>104</v>
      </c>
      <c r="B19">
        <f>0.375</f>
        <v>0.375</v>
      </c>
      <c r="C19">
        <v>1</v>
      </c>
      <c r="D19">
        <f t="shared" si="1"/>
        <v>0.11363636363636365</v>
      </c>
    </row>
    <row r="20" spans="1:4" ht="12.75">
      <c r="A20" t="s">
        <v>106</v>
      </c>
      <c r="B20">
        <f>0.375</f>
        <v>0.375</v>
      </c>
      <c r="C20">
        <v>1</v>
      </c>
      <c r="D20">
        <f t="shared" si="1"/>
        <v>0.11363636363636365</v>
      </c>
    </row>
    <row r="21" spans="1:4" ht="12.75">
      <c r="A21" t="s">
        <v>108</v>
      </c>
      <c r="B21">
        <f>0.375</f>
        <v>0.375</v>
      </c>
      <c r="C21">
        <v>1</v>
      </c>
      <c r="D21">
        <f t="shared" si="1"/>
        <v>0.11363636363636365</v>
      </c>
    </row>
    <row r="28" ht="12.7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A6"/>
    </sheetView>
  </sheetViews>
  <sheetFormatPr defaultColWidth="8.8515625" defaultRowHeight="12.75"/>
  <cols>
    <col min="1" max="1" width="38.421875" style="0" customWidth="1"/>
  </cols>
  <sheetData>
    <row r="1" spans="1:4" ht="12.75">
      <c r="A1" t="s">
        <v>47</v>
      </c>
      <c r="B1">
        <f>3+1.5+1.5+1+1.5+3+1+4+1+2</f>
        <v>19.5</v>
      </c>
      <c r="C1">
        <v>10</v>
      </c>
      <c r="D1">
        <f aca="true" t="shared" si="0" ref="D1:D6">(B1+(0.11*(C1-1)))</f>
        <v>20.49</v>
      </c>
    </row>
    <row r="2" spans="1:4" ht="12.75">
      <c r="A2" t="s">
        <v>137</v>
      </c>
      <c r="B2">
        <f>1+2+2+1+1+4+1</f>
        <v>12</v>
      </c>
      <c r="C2">
        <v>7</v>
      </c>
      <c r="D2">
        <f t="shared" si="0"/>
        <v>12.66</v>
      </c>
    </row>
    <row r="3" spans="1:4" ht="12.75">
      <c r="A3" t="s">
        <v>13</v>
      </c>
      <c r="B3">
        <f>0.375+2+1.5+2+1+4</f>
        <v>10.875</v>
      </c>
      <c r="C3">
        <v>6</v>
      </c>
      <c r="D3">
        <f t="shared" si="0"/>
        <v>11.425</v>
      </c>
    </row>
    <row r="4" spans="1:4" ht="12.75">
      <c r="A4" t="s">
        <v>132</v>
      </c>
      <c r="B4">
        <f>1+2+1+1+4</f>
        <v>9</v>
      </c>
      <c r="C4">
        <v>5</v>
      </c>
      <c r="D4">
        <f t="shared" si="0"/>
        <v>9.44</v>
      </c>
    </row>
    <row r="5" spans="1:4" ht="12.75">
      <c r="A5" t="s">
        <v>135</v>
      </c>
      <c r="B5">
        <f>1+4</f>
        <v>5</v>
      </c>
      <c r="C5">
        <v>2</v>
      </c>
      <c r="D5">
        <f t="shared" si="0"/>
        <v>5.11</v>
      </c>
    </row>
    <row r="6" spans="1:4" ht="12.75">
      <c r="A6" t="s">
        <v>136</v>
      </c>
      <c r="B6">
        <f>1+1+2</f>
        <v>4</v>
      </c>
      <c r="C6">
        <v>3</v>
      </c>
      <c r="D6">
        <f t="shared" si="0"/>
        <v>4.22</v>
      </c>
    </row>
    <row r="7" spans="1:4" ht="12.75">
      <c r="A7" t="s">
        <v>98</v>
      </c>
      <c r="B7">
        <f>3+1.5+3</f>
        <v>7.5</v>
      </c>
      <c r="C7">
        <v>3</v>
      </c>
      <c r="D7">
        <f>(B7/3.3+(0.11*(C7-1)))</f>
        <v>2.492727272727273</v>
      </c>
    </row>
    <row r="8" spans="1:4" ht="12.75">
      <c r="A8" t="s">
        <v>134</v>
      </c>
      <c r="B8">
        <f>1</f>
        <v>1</v>
      </c>
      <c r="C8">
        <v>1</v>
      </c>
      <c r="D8">
        <f>(B8+(0.11*(C8-1)))</f>
        <v>1</v>
      </c>
    </row>
    <row r="9" spans="1:4" ht="12.75">
      <c r="A9" t="s">
        <v>11</v>
      </c>
      <c r="B9">
        <f>1</f>
        <v>1</v>
      </c>
      <c r="C9">
        <v>1</v>
      </c>
      <c r="D9">
        <f>(B9+(0.11*(C9-1)))</f>
        <v>1</v>
      </c>
    </row>
    <row r="10" spans="1:4" ht="12.75">
      <c r="A10" t="s">
        <v>31</v>
      </c>
      <c r="B10">
        <f>2</f>
        <v>2</v>
      </c>
      <c r="C10">
        <v>1</v>
      </c>
      <c r="D10">
        <f aca="true" t="shared" si="1" ref="D10:D17">(B10/3.3+(0.11*(C10-1)))</f>
        <v>0.6060606060606061</v>
      </c>
    </row>
    <row r="11" spans="1:4" ht="12.75">
      <c r="A11" t="s">
        <v>100</v>
      </c>
      <c r="B11">
        <f>0.375+1</f>
        <v>1.375</v>
      </c>
      <c r="C11">
        <v>2</v>
      </c>
      <c r="D11">
        <f t="shared" si="1"/>
        <v>0.5266666666666667</v>
      </c>
    </row>
    <row r="12" spans="1:4" ht="12.75">
      <c r="A12" t="s">
        <v>133</v>
      </c>
      <c r="B12">
        <f>1</f>
        <v>1</v>
      </c>
      <c r="C12">
        <v>1</v>
      </c>
      <c r="D12">
        <f t="shared" si="1"/>
        <v>0.30303030303030304</v>
      </c>
    </row>
    <row r="13" spans="1:4" ht="12.75">
      <c r="A13" t="s">
        <v>76</v>
      </c>
      <c r="B13">
        <f>1</f>
        <v>1</v>
      </c>
      <c r="C13">
        <v>1</v>
      </c>
      <c r="D13">
        <f t="shared" si="1"/>
        <v>0.30303030303030304</v>
      </c>
    </row>
    <row r="14" spans="1:4" ht="12.75">
      <c r="A14" t="s">
        <v>10</v>
      </c>
      <c r="B14">
        <f>1</f>
        <v>1</v>
      </c>
      <c r="C14">
        <v>1</v>
      </c>
      <c r="D14">
        <f t="shared" si="1"/>
        <v>0.30303030303030304</v>
      </c>
    </row>
    <row r="15" spans="1:4" ht="12.75">
      <c r="A15" t="s">
        <v>99</v>
      </c>
      <c r="B15">
        <f>0.375</f>
        <v>0.375</v>
      </c>
      <c r="C15">
        <v>1</v>
      </c>
      <c r="D15">
        <f t="shared" si="1"/>
        <v>0.11363636363636365</v>
      </c>
    </row>
    <row r="16" spans="1:4" ht="12.75">
      <c r="A16" t="s">
        <v>18</v>
      </c>
      <c r="B16">
        <f>0.375</f>
        <v>0.375</v>
      </c>
      <c r="C16">
        <v>1</v>
      </c>
      <c r="D16">
        <f t="shared" si="1"/>
        <v>0.11363636363636365</v>
      </c>
    </row>
    <row r="17" spans="1:4" ht="12.75">
      <c r="A17" t="s">
        <v>15</v>
      </c>
      <c r="B17">
        <f>0.375</f>
        <v>0.375</v>
      </c>
      <c r="C17">
        <v>1</v>
      </c>
      <c r="D17">
        <f t="shared" si="1"/>
        <v>0.11363636363636365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24.00390625" style="0" customWidth="1"/>
  </cols>
  <sheetData>
    <row r="1" spans="1:5" ht="12.75">
      <c r="A1" t="s">
        <v>89</v>
      </c>
      <c r="B1">
        <f>1.5+2+1.5+1.5+1.5+4+3+1+1</f>
        <v>17</v>
      </c>
      <c r="C1">
        <v>9</v>
      </c>
      <c r="D1">
        <v>9</v>
      </c>
      <c r="E1">
        <f aca="true" t="shared" si="0" ref="E1:E15">B1+(0.11*(C1-1))+D1*0.35</f>
        <v>21.029999999999998</v>
      </c>
    </row>
    <row r="2" spans="1:5" ht="12.75">
      <c r="A2" t="s">
        <v>84</v>
      </c>
      <c r="B2">
        <f>3+2+1+3+4+1</f>
        <v>14</v>
      </c>
      <c r="C2">
        <v>6</v>
      </c>
      <c r="D2">
        <v>6</v>
      </c>
      <c r="E2">
        <f t="shared" si="0"/>
        <v>16.65</v>
      </c>
    </row>
    <row r="3" spans="1:5" ht="12.75">
      <c r="A3" t="s">
        <v>54</v>
      </c>
      <c r="B3">
        <f>2+2+4</f>
        <v>8</v>
      </c>
      <c r="C3">
        <v>3</v>
      </c>
      <c r="D3">
        <v>1</v>
      </c>
      <c r="E3">
        <f t="shared" si="0"/>
        <v>8.57</v>
      </c>
    </row>
    <row r="4" spans="1:5" ht="12.75">
      <c r="A4" t="s">
        <v>79</v>
      </c>
      <c r="B4">
        <f>1+1+4+1</f>
        <v>7</v>
      </c>
      <c r="C4">
        <v>4</v>
      </c>
      <c r="D4">
        <v>3</v>
      </c>
      <c r="E4">
        <f t="shared" si="0"/>
        <v>8.379999999999999</v>
      </c>
    </row>
    <row r="5" spans="1:5" ht="12.75">
      <c r="A5" t="s">
        <v>80</v>
      </c>
      <c r="B5">
        <f>0.8+0.8+0.8+2</f>
        <v>4.4</v>
      </c>
      <c r="C5">
        <v>4</v>
      </c>
      <c r="D5">
        <v>4</v>
      </c>
      <c r="E5">
        <f t="shared" si="0"/>
        <v>6.130000000000001</v>
      </c>
    </row>
    <row r="6" spans="1:5" ht="12.75">
      <c r="A6" t="s">
        <v>37</v>
      </c>
      <c r="B6">
        <f>1+1+1+1</f>
        <v>4</v>
      </c>
      <c r="C6">
        <v>4</v>
      </c>
      <c r="D6">
        <v>1</v>
      </c>
      <c r="E6">
        <f t="shared" si="0"/>
        <v>4.68</v>
      </c>
    </row>
    <row r="7" spans="1:5" ht="12.75">
      <c r="A7" t="s">
        <v>114</v>
      </c>
      <c r="B7">
        <f>1</f>
        <v>1</v>
      </c>
      <c r="C7">
        <v>1</v>
      </c>
      <c r="D7">
        <v>10</v>
      </c>
      <c r="E7">
        <f t="shared" si="0"/>
        <v>4.5</v>
      </c>
    </row>
    <row r="8" spans="1:5" ht="12.75">
      <c r="A8" t="s">
        <v>52</v>
      </c>
      <c r="B8">
        <f>4</f>
        <v>4</v>
      </c>
      <c r="C8">
        <v>1</v>
      </c>
      <c r="D8">
        <v>1</v>
      </c>
      <c r="E8">
        <f t="shared" si="0"/>
        <v>4.35</v>
      </c>
    </row>
    <row r="9" spans="1:5" ht="12.75">
      <c r="A9" t="s">
        <v>39</v>
      </c>
      <c r="B9">
        <f>2</f>
        <v>2</v>
      </c>
      <c r="C9">
        <v>1</v>
      </c>
      <c r="D9">
        <v>4</v>
      </c>
      <c r="E9">
        <f t="shared" si="0"/>
        <v>3.4</v>
      </c>
    </row>
    <row r="10" spans="1:5" ht="12.75">
      <c r="A10" t="s">
        <v>110</v>
      </c>
      <c r="B10">
        <f>1+1</f>
        <v>2</v>
      </c>
      <c r="C10">
        <v>2</v>
      </c>
      <c r="D10">
        <v>1</v>
      </c>
      <c r="E10">
        <f t="shared" si="0"/>
        <v>2.46</v>
      </c>
    </row>
    <row r="11" spans="1:5" ht="12.75">
      <c r="A11" t="s">
        <v>25</v>
      </c>
      <c r="B11">
        <f>0.8+0.8</f>
        <v>1.6</v>
      </c>
      <c r="C11">
        <v>2</v>
      </c>
      <c r="D11">
        <v>2</v>
      </c>
      <c r="E11">
        <f t="shared" si="0"/>
        <v>2.41</v>
      </c>
    </row>
    <row r="12" spans="1:5" ht="12.75">
      <c r="A12" t="s">
        <v>115</v>
      </c>
      <c r="B12">
        <f>2</f>
        <v>2</v>
      </c>
      <c r="C12">
        <v>1</v>
      </c>
      <c r="D12">
        <v>1</v>
      </c>
      <c r="E12">
        <f t="shared" si="0"/>
        <v>2.35</v>
      </c>
    </row>
    <row r="13" spans="1:5" ht="12.75">
      <c r="A13" t="s">
        <v>51</v>
      </c>
      <c r="B13">
        <f>1.5</f>
        <v>1.5</v>
      </c>
      <c r="C13">
        <v>1</v>
      </c>
      <c r="E13">
        <f t="shared" si="0"/>
        <v>1.5</v>
      </c>
    </row>
    <row r="14" spans="1:5" ht="12.75">
      <c r="A14" t="s">
        <v>56</v>
      </c>
      <c r="B14">
        <f>1</f>
        <v>1</v>
      </c>
      <c r="C14">
        <v>1</v>
      </c>
      <c r="E14">
        <f t="shared" si="0"/>
        <v>1</v>
      </c>
    </row>
    <row r="15" spans="1:5" ht="12.75">
      <c r="A15" t="s">
        <v>109</v>
      </c>
      <c r="B15">
        <f>1</f>
        <v>1</v>
      </c>
      <c r="C15">
        <v>1</v>
      </c>
      <c r="E15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27.28125" style="0" customWidth="1"/>
    <col min="2" max="4" width="8.8515625" style="0" customWidth="1"/>
    <col min="5" max="5" width="9.140625" style="0" customWidth="1"/>
  </cols>
  <sheetData>
    <row r="1" spans="1:5" ht="12.75">
      <c r="A1" t="s">
        <v>38</v>
      </c>
      <c r="B1">
        <f>2+1+2+1.5+1+1+4+1+1</f>
        <v>14.5</v>
      </c>
      <c r="C1">
        <v>9</v>
      </c>
      <c r="D1">
        <v>10</v>
      </c>
      <c r="E1">
        <f aca="true" t="shared" si="0" ref="E1:E12">B1+(0.11*(C1-1))+D1*0.35</f>
        <v>18.880000000000003</v>
      </c>
    </row>
    <row r="2" spans="1:5" ht="12.75">
      <c r="A2" t="s">
        <v>87</v>
      </c>
      <c r="B2">
        <f>2+1.5+4+2+1+2+1</f>
        <v>13.5</v>
      </c>
      <c r="C2">
        <v>7</v>
      </c>
      <c r="D2">
        <v>12</v>
      </c>
      <c r="E2">
        <f t="shared" si="0"/>
        <v>18.36</v>
      </c>
    </row>
    <row r="3" spans="1:5" ht="12.75">
      <c r="A3" t="s">
        <v>58</v>
      </c>
      <c r="B3">
        <f>1+1.5+1+1.5+3+2+1+4</f>
        <v>15</v>
      </c>
      <c r="C3">
        <v>8</v>
      </c>
      <c r="D3">
        <v>5</v>
      </c>
      <c r="E3">
        <f t="shared" si="0"/>
        <v>17.52</v>
      </c>
    </row>
    <row r="4" spans="1:5" ht="12.75">
      <c r="A4" t="s">
        <v>83</v>
      </c>
      <c r="B4">
        <f>3+1+2+4+1</f>
        <v>11</v>
      </c>
      <c r="C4">
        <v>5</v>
      </c>
      <c r="D4">
        <v>7</v>
      </c>
      <c r="E4">
        <f t="shared" si="0"/>
        <v>13.889999999999999</v>
      </c>
    </row>
    <row r="5" spans="1:5" ht="12.75">
      <c r="A5" t="s">
        <v>111</v>
      </c>
      <c r="B5">
        <f>1+4</f>
        <v>5</v>
      </c>
      <c r="C5">
        <v>2</v>
      </c>
      <c r="D5">
        <v>7</v>
      </c>
      <c r="E5">
        <f t="shared" si="0"/>
        <v>7.5600000000000005</v>
      </c>
    </row>
    <row r="6" spans="1:5" ht="12.75">
      <c r="A6" t="s">
        <v>91</v>
      </c>
      <c r="B6">
        <f>0.8+0.8+0.8+0.8+0.8</f>
        <v>4</v>
      </c>
      <c r="C6">
        <v>5</v>
      </c>
      <c r="D6">
        <v>7</v>
      </c>
      <c r="E6">
        <f t="shared" si="0"/>
        <v>6.890000000000001</v>
      </c>
    </row>
    <row r="7" spans="1:5" ht="12.75">
      <c r="A7" t="s">
        <v>55</v>
      </c>
      <c r="B7">
        <f>4</f>
        <v>4</v>
      </c>
      <c r="C7">
        <v>1</v>
      </c>
      <c r="D7">
        <v>8</v>
      </c>
      <c r="E7">
        <f t="shared" si="0"/>
        <v>6.8</v>
      </c>
    </row>
    <row r="8" spans="1:5" ht="12.75">
      <c r="A8" t="s">
        <v>90</v>
      </c>
      <c r="B8">
        <f>3</f>
        <v>3</v>
      </c>
      <c r="C8">
        <v>1</v>
      </c>
      <c r="E8">
        <f t="shared" si="0"/>
        <v>3</v>
      </c>
    </row>
    <row r="9" spans="1:5" ht="12.75">
      <c r="A9" t="s">
        <v>113</v>
      </c>
      <c r="B9">
        <f>1</f>
        <v>1</v>
      </c>
      <c r="C9">
        <v>1</v>
      </c>
      <c r="D9">
        <v>4</v>
      </c>
      <c r="E9">
        <f t="shared" si="0"/>
        <v>2.4</v>
      </c>
    </row>
    <row r="10" spans="1:5" ht="12.75">
      <c r="A10" t="s">
        <v>112</v>
      </c>
      <c r="B10">
        <f>1+1</f>
        <v>2</v>
      </c>
      <c r="C10">
        <v>2</v>
      </c>
      <c r="E10">
        <f t="shared" si="0"/>
        <v>2.11</v>
      </c>
    </row>
    <row r="11" spans="1:5" ht="12.75">
      <c r="A11" t="s">
        <v>57</v>
      </c>
      <c r="B11">
        <f>1</f>
        <v>1</v>
      </c>
      <c r="C11">
        <v>1</v>
      </c>
      <c r="E11">
        <f t="shared" si="0"/>
        <v>1</v>
      </c>
    </row>
    <row r="12" spans="1:5" ht="12.75">
      <c r="A12" t="s">
        <v>12</v>
      </c>
      <c r="B12">
        <f>1</f>
        <v>1</v>
      </c>
      <c r="C12">
        <v>1</v>
      </c>
      <c r="E12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L22" sqref="L22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</dc:creator>
  <cp:keywords/>
  <dc:description/>
  <cp:lastModifiedBy>vero</cp:lastModifiedBy>
  <cp:lastPrinted>2000-08-03T20:54:53Z</cp:lastPrinted>
  <dcterms:created xsi:type="dcterms:W3CDTF">2000-02-17T17:19:19Z</dcterms:created>
  <dcterms:modified xsi:type="dcterms:W3CDTF">2012-08-25T19:14:12Z</dcterms:modified>
  <cp:category/>
  <cp:version/>
  <cp:contentType/>
  <cp:contentStatus/>
</cp:coreProperties>
</file>