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5" yWindow="2160" windowWidth="12795" windowHeight="9540" tabRatio="599" activeTab="0"/>
  </bookViews>
  <sheets>
    <sheet name="Picture" sheetId="1" r:id="rId1"/>
    <sheet name="Director" sheetId="2" r:id="rId2"/>
    <sheet name="Actor" sheetId="3" r:id="rId3"/>
    <sheet name="Actress" sheetId="4" r:id="rId4"/>
    <sheet name="Supp.Actor" sheetId="5" r:id="rId5"/>
    <sheet name="Supp.Actress" sheetId="6" r:id="rId6"/>
    <sheet name="Original" sheetId="7" r:id="rId7"/>
    <sheet name="Adaptation" sheetId="8" r:id="rId8"/>
    <sheet name="filmgrafiek" sheetId="9" r:id="rId9"/>
    <sheet name="regiegrafiek" sheetId="10" r:id="rId10"/>
    <sheet name="acteursgrafiek" sheetId="11" r:id="rId11"/>
    <sheet name="actrice-grafiek" sheetId="12" r:id="rId12"/>
    <sheet name="Blad13" sheetId="13" r:id="rId13"/>
    <sheet name="Blad14" sheetId="14" r:id="rId14"/>
    <sheet name="Blad15" sheetId="15" r:id="rId15"/>
    <sheet name="Blad16" sheetId="16" r:id="rId16"/>
  </sheets>
  <definedNames>
    <definedName name="_xlnm.Print_Area" localSheetId="7">'Adaptation'!$A:$E</definedName>
  </definedNames>
  <calcPr fullCalcOnLoad="1"/>
</workbook>
</file>

<file path=xl/sharedStrings.xml><?xml version="1.0" encoding="utf-8"?>
<sst xmlns="http://schemas.openxmlformats.org/spreadsheetml/2006/main" count="121" uniqueCount="112">
  <si>
    <t>Robin Wright Penn (She's so lovely)</t>
  </si>
  <si>
    <t>Joan Allen (The Ice Storm)</t>
  </si>
  <si>
    <t>Julia Roberts (My Best Friends Wedding)</t>
  </si>
  <si>
    <t>Jennifer Lopez (Selena)</t>
  </si>
  <si>
    <t>Joey Lauren Adams (Chasing Amy)</t>
  </si>
  <si>
    <t>Parker Posey (House of Yes)</t>
  </si>
  <si>
    <t>Lisa Kudrow (Romy &amp; Michele's)</t>
  </si>
  <si>
    <t>Burt Reynolds (Boogie Nights)</t>
  </si>
  <si>
    <t>Anthony Hopkins (Amistad)</t>
  </si>
  <si>
    <t>Greg Kinnear (As Good As It Gets)</t>
  </si>
  <si>
    <t>Robin Williams (Good Will Hunting)</t>
  </si>
  <si>
    <t>Rupert Everett (My Best Friends Wedding)</t>
  </si>
  <si>
    <t>Jon Voight (The Rainmaker)</t>
  </si>
  <si>
    <t>Billy Connelly (Mrs. Brown)</t>
  </si>
  <si>
    <t>Kevin Spacey (L.A. Confidential)</t>
  </si>
  <si>
    <t>Robert Forster (Jackie Brown)</t>
  </si>
  <si>
    <t>Samuel L. Jackson (Eve's Bayou)</t>
  </si>
  <si>
    <t>Cuba Gooding Jr. (As Good As It Gets)</t>
  </si>
  <si>
    <t>Danny DeVito (The Rainmaker)</t>
  </si>
  <si>
    <t>Rip Torn (Men in Black)</t>
  </si>
  <si>
    <t>Julianne Moore (Boogie Nights)</t>
  </si>
  <si>
    <t>Joan Cusack (In &amp; Out)</t>
  </si>
  <si>
    <t>Gloria Stuart (Titanic)</t>
  </si>
  <si>
    <t>Kim Bassinger (L.A. Confidential)</t>
  </si>
  <si>
    <t>Minnie Driver (Good Will Hunting)</t>
  </si>
  <si>
    <t>Allison Elliot (The Wings of the Dove)</t>
  </si>
  <si>
    <t>Sigourney Weaver (The Ice Storm)</t>
  </si>
  <si>
    <t>Debbi Morgan (Eve's Bayou)</t>
  </si>
  <si>
    <t>Julianne Moore (Myth of Fingerprints)</t>
  </si>
  <si>
    <t>Joan Cusack (grosse Point Blanke)</t>
  </si>
  <si>
    <t>Shirley Knight (As Good As it Gets)</t>
  </si>
  <si>
    <t>Sarah Polley (The Sweet Hereafter)</t>
  </si>
  <si>
    <t>Ashley Judd (Kiss the Girls)</t>
  </si>
  <si>
    <t>Cameron Diaz (My Best Friends Wedding)</t>
  </si>
  <si>
    <t>Linda Fiorentina (Men in Black)</t>
  </si>
  <si>
    <t>Anne Heche (Wag the Dog)</t>
  </si>
  <si>
    <t>As Good As It Gets</t>
  </si>
  <si>
    <t>the Full Monty</t>
  </si>
  <si>
    <t>Chasing Amy</t>
  </si>
  <si>
    <t>In The Company of Men</t>
  </si>
  <si>
    <t>The Ice Storm</t>
  </si>
  <si>
    <t>Donnie Brasco</t>
  </si>
  <si>
    <t>the Sweet Hereafter</t>
  </si>
  <si>
    <t>Bai Ling (Red Corner)</t>
  </si>
  <si>
    <t>Jumee Smollett - Eve's Bayou</t>
  </si>
  <si>
    <t>Howard Stern (Private Parts)</t>
  </si>
  <si>
    <t>Pam Grier (Jackie Brown)</t>
  </si>
  <si>
    <t>Mark Addy (The Full Monty)</t>
  </si>
  <si>
    <t>Titanic</t>
  </si>
  <si>
    <t>Good Will Hunting</t>
  </si>
  <si>
    <t>L.A. Confidential</t>
  </si>
  <si>
    <t>As Good As it Gets</t>
  </si>
  <si>
    <t>The Full Monty</t>
  </si>
  <si>
    <t>Amistad</t>
  </si>
  <si>
    <t>The Wings of the Dove</t>
  </si>
  <si>
    <t>Boogie Nights</t>
  </si>
  <si>
    <t>The Sweet Hereafter</t>
  </si>
  <si>
    <t>Wag the Dog</t>
  </si>
  <si>
    <t>Air Force One</t>
  </si>
  <si>
    <t>Mrs. Brown</t>
  </si>
  <si>
    <t>Ulee's Gold</t>
  </si>
  <si>
    <t>The Boxer</t>
  </si>
  <si>
    <t>Men in Black</t>
  </si>
  <si>
    <t>The Apostle</t>
  </si>
  <si>
    <t>Liar Liar</t>
  </si>
  <si>
    <t>My Best Friends Wedding</t>
  </si>
  <si>
    <t>Afterglow</t>
  </si>
  <si>
    <t>Deconstructing Harry</t>
  </si>
  <si>
    <t>In &amp; Out</t>
  </si>
  <si>
    <t>James Cameron (Titanic)</t>
  </si>
  <si>
    <t>Gus Van Sant (Good Will Hunting)</t>
  </si>
  <si>
    <t>Curtis Hanson (L.A. Confidential)</t>
  </si>
  <si>
    <t>James L. Brooks (As Good As it Gets)</t>
  </si>
  <si>
    <t>Peter Cattaneo (The Full Monty)</t>
  </si>
  <si>
    <t>Steven Spielberg (Amistad)</t>
  </si>
  <si>
    <t>Paul Thomas Anderson (Boogie Nights)</t>
  </si>
  <si>
    <t>Atom Egoyan (The Sweet Hereafter)</t>
  </si>
  <si>
    <t>Lain Softley (Wings of the Dove)</t>
  </si>
  <si>
    <t>Barry Levinson (Wag the Dog)</t>
  </si>
  <si>
    <t>Victor Nunez (Ulee's Gold)</t>
  </si>
  <si>
    <t>John Madden (Mrs. Brown)</t>
  </si>
  <si>
    <t>Jim Sheridan (The Boxer)</t>
  </si>
  <si>
    <t>Ang Lee (The Ice Storm)</t>
  </si>
  <si>
    <t>Wolfgang Petersen (Air Force One)</t>
  </si>
  <si>
    <t>Barry sonnenfeld (Men in Black)</t>
  </si>
  <si>
    <t>Robert Duvall (The Apostle)</t>
  </si>
  <si>
    <t>Mike Newell (Donnie Basco)</t>
  </si>
  <si>
    <t>Alan Rudolph (Afterglow)</t>
  </si>
  <si>
    <t>Jack Nicholson (As Good As it Gets)</t>
  </si>
  <si>
    <t>Peter Fonda (Ulee's Gold)</t>
  </si>
  <si>
    <t>Dustin Hoffman (Wag the Dog)</t>
  </si>
  <si>
    <t>Matt Damon (Good Will Hunting)</t>
  </si>
  <si>
    <t>Ian Holm (The Sweet Hereafter)</t>
  </si>
  <si>
    <t>Daniel Day Lewis (The Boxer)</t>
  </si>
  <si>
    <t>Djimon Hounsou (Amistad)</t>
  </si>
  <si>
    <t>Leonardo Dicaprio (Titanic)</t>
  </si>
  <si>
    <t>Bob hoskins (24-7)</t>
  </si>
  <si>
    <t>Kevin Kline (In &amp; Out)</t>
  </si>
  <si>
    <t>Al Pacino (Donnie Brasco)</t>
  </si>
  <si>
    <t>Samuel L. Jackson (Jackie Brown)</t>
  </si>
  <si>
    <t>Jim Carrey (Liar Liar)</t>
  </si>
  <si>
    <t>Tommy Lee Jones (Man in Black)</t>
  </si>
  <si>
    <t>Russell Crowe (L.A. Confiential)</t>
  </si>
  <si>
    <t>Mark Whalberg (Boogie Nights)</t>
  </si>
  <si>
    <t>Robert Carlyle (The Full Monty)</t>
  </si>
  <si>
    <t>Helena Bonham Carter (Wings of the Dove)</t>
  </si>
  <si>
    <t>Helen Hunt (As Good As It Gets)</t>
  </si>
  <si>
    <t>Judi Dench (Mrs. Brown)</t>
  </si>
  <si>
    <t>Kate Winslet (Titanic)</t>
  </si>
  <si>
    <t>Julie Christie (Afterglow)</t>
  </si>
  <si>
    <t>Jodie Foster (Contact)</t>
  </si>
  <si>
    <t>Jessica Lange (A Thousand Acress)</t>
  </si>
</sst>
</file>

<file path=xl/styles.xml><?xml version="1.0" encoding="utf-8"?>
<styleSheet xmlns="http://schemas.openxmlformats.org/spreadsheetml/2006/main">
  <numFmts count="5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fl&quot;\ #,##0_-;&quot;fl&quot;\ #,##0\-"/>
    <numFmt numFmtId="197" formatCode="&quot;fl&quot;\ #,##0_-;[Red]&quot;fl&quot;\ #,##0\-"/>
    <numFmt numFmtId="198" formatCode="&quot;fl&quot;\ #,##0.00_-;&quot;fl&quot;\ #,##0.00\-"/>
    <numFmt numFmtId="199" formatCode="&quot;fl&quot;\ #,##0.00_-;[Red]&quot;fl&quot;\ #,##0.00\-"/>
    <numFmt numFmtId="200" formatCode="_-&quot;fl&quot;\ * #,##0_-;_-&quot;fl&quot;\ * #,##0\-;_-&quot;fl&quot;\ * &quot;-&quot;_-;_-@_-"/>
    <numFmt numFmtId="201" formatCode="_-&quot;fl&quot;\ * #,##0.00_-;_-&quot;fl&quot;\ * #,##0.00\-;_-&quot;fl&quot;\ * &quot;-&quot;??_-;_-@_-"/>
    <numFmt numFmtId="202" formatCode="#,##0\ &quot;FB&quot;;\-#,##0\ &quot;FB&quot;"/>
    <numFmt numFmtId="203" formatCode="#,##0\ &quot;FB&quot;;[Red]\-#,##0\ &quot;FB&quot;"/>
    <numFmt numFmtId="204" formatCode="#,##0.00\ &quot;FB&quot;;\-#,##0.00\ &quot;FB&quot;"/>
    <numFmt numFmtId="205" formatCode="#,##0.00\ &quot;FB&quot;;[Red]\-#,##0.00\ &quot;FB&quot;"/>
    <numFmt numFmtId="206" formatCode="_-* #,##0\ &quot;FB&quot;_-;\-* #,##0\ &quot;FB&quot;_-;_-* &quot;-&quot;\ &quot;FB&quot;_-;_-@_-"/>
    <numFmt numFmtId="207" formatCode="_-* #,##0\ _F_B_-;\-* #,##0\ _F_B_-;_-* &quot;-&quot;\ _F_B_-;_-@_-"/>
    <numFmt numFmtId="208" formatCode="_-* #,##0.00\ &quot;FB&quot;_-;\-* #,##0.00\ &quot;FB&quot;_-;_-* &quot;-&quot;??\ &quot;FB&quot;_-;_-@_-"/>
    <numFmt numFmtId="209" formatCode="_-* #,##0.00\ _F_B_-;\-* #,##0.00\ _F_B_-;_-* &quot;-&quot;??\ _F_B_-;_-@_-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29" borderId="1" applyNumberFormat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" sqref="A1:A5"/>
    </sheetView>
  </sheetViews>
  <sheetFormatPr defaultColWidth="8.8515625" defaultRowHeight="12.75"/>
  <cols>
    <col min="1" max="1" width="23.00390625" style="0" customWidth="1"/>
  </cols>
  <sheetData>
    <row r="1" spans="1:7" ht="12.75">
      <c r="A1" t="s">
        <v>48</v>
      </c>
      <c r="B1">
        <f>1.5+1.5+1.5+1+1.5+1.5+2+3+2+4+2+2+3+1+1</f>
        <v>28.5</v>
      </c>
      <c r="C1">
        <v>15</v>
      </c>
      <c r="D1">
        <v>11</v>
      </c>
      <c r="E1">
        <v>10</v>
      </c>
      <c r="F1">
        <v>1</v>
      </c>
      <c r="G1">
        <f aca="true" t="shared" si="0" ref="G1:G21">IF(C1=0,0,IF(AND(E1&gt;0,F1&gt;0),B1+3,B1/2.5)+((C1-1)*0.02)+(D1*0.66)+(E1*0.33))</f>
        <v>42.339999999999996</v>
      </c>
    </row>
    <row r="2" spans="1:7" ht="12.75">
      <c r="A2" t="s">
        <v>50</v>
      </c>
      <c r="B2">
        <f>1.5+1.5+1.5+1.5+1+3+1.5+2+2+1+3+3+3+1.5+1.5+1.5+2+4+2+3+1+1+1.5+1.5+0.8+0.8+0.8+0.8+0.8+0.8+0.8+0.8+0.8</f>
        <v>53.199999999999974</v>
      </c>
      <c r="C2">
        <v>32</v>
      </c>
      <c r="D2">
        <v>14</v>
      </c>
      <c r="E2">
        <v>9</v>
      </c>
      <c r="F2">
        <v>0</v>
      </c>
      <c r="G2">
        <f t="shared" si="0"/>
        <v>34.10999999999999</v>
      </c>
    </row>
    <row r="3" spans="1:7" ht="12.75">
      <c r="A3" t="s">
        <v>49</v>
      </c>
      <c r="B3">
        <f>1+2+1+1+2+4+2+2+3+1+0.8+0.8</f>
        <v>20.6</v>
      </c>
      <c r="C3">
        <v>12</v>
      </c>
      <c r="D3">
        <v>7</v>
      </c>
      <c r="E3">
        <v>8</v>
      </c>
      <c r="F3">
        <v>1</v>
      </c>
      <c r="G3">
        <f t="shared" si="0"/>
        <v>31.080000000000002</v>
      </c>
    </row>
    <row r="4" spans="1:7" ht="12.75">
      <c r="A4" t="s">
        <v>51</v>
      </c>
      <c r="B4">
        <f>1.5+3+1+2+4+2+2+2+1+1+0.8+0.8</f>
        <v>21.1</v>
      </c>
      <c r="C4">
        <v>12</v>
      </c>
      <c r="D4">
        <v>7</v>
      </c>
      <c r="E4">
        <v>7</v>
      </c>
      <c r="F4">
        <v>0</v>
      </c>
      <c r="G4">
        <f t="shared" si="0"/>
        <v>15.590000000000002</v>
      </c>
    </row>
    <row r="5" spans="1:7" ht="12.75">
      <c r="A5" t="s">
        <v>52</v>
      </c>
      <c r="B5">
        <f>1.5+0.375+0.75+3</f>
        <v>5.625</v>
      </c>
      <c r="C5">
        <v>4</v>
      </c>
      <c r="D5">
        <v>5</v>
      </c>
      <c r="E5">
        <v>2</v>
      </c>
      <c r="F5">
        <v>1</v>
      </c>
      <c r="G5">
        <f t="shared" si="0"/>
        <v>12.645000000000001</v>
      </c>
    </row>
    <row r="6" spans="1:7" ht="12.75">
      <c r="A6" t="s">
        <v>53</v>
      </c>
      <c r="B6">
        <f>1+2+4+2</f>
        <v>9</v>
      </c>
      <c r="C6">
        <v>4</v>
      </c>
      <c r="D6">
        <v>5</v>
      </c>
      <c r="E6">
        <v>5</v>
      </c>
      <c r="F6">
        <v>0</v>
      </c>
      <c r="G6">
        <f t="shared" si="0"/>
        <v>8.610000000000001</v>
      </c>
    </row>
    <row r="7" spans="1:7" ht="12.75">
      <c r="A7" t="s">
        <v>55</v>
      </c>
      <c r="B7">
        <f>1+1+3</f>
        <v>5</v>
      </c>
      <c r="C7">
        <v>3</v>
      </c>
      <c r="D7">
        <v>5</v>
      </c>
      <c r="E7">
        <v>4</v>
      </c>
      <c r="G7">
        <f t="shared" si="0"/>
        <v>6.66</v>
      </c>
    </row>
    <row r="8" spans="1:7" ht="12.75">
      <c r="A8" t="s">
        <v>56</v>
      </c>
      <c r="B8">
        <f>2+2+1+1-0.8+1</f>
        <v>6.2</v>
      </c>
      <c r="C8">
        <v>5</v>
      </c>
      <c r="D8">
        <v>4</v>
      </c>
      <c r="G8">
        <f t="shared" si="0"/>
        <v>5.2</v>
      </c>
    </row>
    <row r="9" spans="1:7" ht="12.75">
      <c r="A9" t="s">
        <v>57</v>
      </c>
      <c r="B9">
        <f>0.75+1</f>
        <v>1.75</v>
      </c>
      <c r="C9">
        <v>2</v>
      </c>
      <c r="D9">
        <v>2</v>
      </c>
      <c r="E9">
        <v>2</v>
      </c>
      <c r="G9">
        <f t="shared" si="0"/>
        <v>2.7</v>
      </c>
    </row>
    <row r="10" spans="1:7" ht="12.75">
      <c r="A10" t="s">
        <v>61</v>
      </c>
      <c r="B10">
        <f>2</f>
        <v>2</v>
      </c>
      <c r="C10">
        <v>1</v>
      </c>
      <c r="D10">
        <v>1</v>
      </c>
      <c r="E10">
        <v>1</v>
      </c>
      <c r="G10">
        <f t="shared" si="0"/>
        <v>1.79</v>
      </c>
    </row>
    <row r="11" spans="1:7" ht="12.75">
      <c r="A11" t="s">
        <v>58</v>
      </c>
      <c r="B11">
        <f>2</f>
        <v>2</v>
      </c>
      <c r="C11">
        <v>1</v>
      </c>
      <c r="E11">
        <v>2</v>
      </c>
      <c r="G11">
        <f t="shared" si="0"/>
        <v>1.46</v>
      </c>
    </row>
    <row r="12" spans="1:7" ht="12.75">
      <c r="A12" s="1" t="s">
        <v>62</v>
      </c>
      <c r="B12">
        <f>0.75-0.8</f>
        <v>-0.050000000000000044</v>
      </c>
      <c r="C12">
        <v>1</v>
      </c>
      <c r="D12">
        <v>1</v>
      </c>
      <c r="E12">
        <v>2</v>
      </c>
      <c r="G12">
        <f t="shared" si="0"/>
        <v>1.3</v>
      </c>
    </row>
    <row r="13" spans="1:7" ht="12.75">
      <c r="A13" t="s">
        <v>65</v>
      </c>
      <c r="B13">
        <f>0.375+0.75-0.8</f>
        <v>0.32499999999999996</v>
      </c>
      <c r="C13">
        <v>2</v>
      </c>
      <c r="D13">
        <v>1</v>
      </c>
      <c r="G13">
        <f t="shared" si="0"/>
        <v>0.81</v>
      </c>
    </row>
    <row r="14" spans="1:7" ht="12.75">
      <c r="A14" t="s">
        <v>59</v>
      </c>
      <c r="B14">
        <f>1-0.8</f>
        <v>0.19999999999999996</v>
      </c>
      <c r="C14">
        <v>1</v>
      </c>
      <c r="E14">
        <v>2</v>
      </c>
      <c r="G14">
        <f t="shared" si="0"/>
        <v>0.74</v>
      </c>
    </row>
    <row r="15" spans="1:7" ht="12.75">
      <c r="A15" t="s">
        <v>60</v>
      </c>
      <c r="B15">
        <f>1-0.8</f>
        <v>0.19999999999999996</v>
      </c>
      <c r="C15">
        <v>1</v>
      </c>
      <c r="E15">
        <v>1</v>
      </c>
      <c r="G15">
        <f t="shared" si="0"/>
        <v>0.41000000000000003</v>
      </c>
    </row>
    <row r="16" spans="1:7" ht="12.75">
      <c r="A16" t="s">
        <v>64</v>
      </c>
      <c r="B16">
        <f>1.5-0.8</f>
        <v>0.7</v>
      </c>
      <c r="C16">
        <v>1</v>
      </c>
      <c r="G16">
        <f t="shared" si="0"/>
        <v>0.27999999999999997</v>
      </c>
    </row>
    <row r="17" spans="1:7" ht="12.75">
      <c r="A17" t="s">
        <v>67</v>
      </c>
      <c r="B17">
        <f>0.375</f>
        <v>0.375</v>
      </c>
      <c r="C17">
        <v>1</v>
      </c>
      <c r="G17">
        <f t="shared" si="0"/>
        <v>0.15</v>
      </c>
    </row>
    <row r="18" spans="1:7" ht="12.75">
      <c r="A18" t="s">
        <v>54</v>
      </c>
      <c r="D18">
        <v>3</v>
      </c>
      <c r="E18">
        <v>3</v>
      </c>
      <c r="G18">
        <f t="shared" si="0"/>
        <v>0</v>
      </c>
    </row>
    <row r="19" spans="1:7" ht="12.75">
      <c r="A19" t="s">
        <v>63</v>
      </c>
      <c r="B19">
        <f>-0.8</f>
        <v>-0.8</v>
      </c>
      <c r="E19">
        <v>1</v>
      </c>
      <c r="G19">
        <f t="shared" si="0"/>
        <v>0</v>
      </c>
    </row>
    <row r="20" spans="1:7" ht="12.75">
      <c r="A20" t="s">
        <v>66</v>
      </c>
      <c r="B20">
        <f>-0.8</f>
        <v>-0.8</v>
      </c>
      <c r="G20">
        <f t="shared" si="0"/>
        <v>0</v>
      </c>
    </row>
    <row r="21" spans="1:7" ht="12.75">
      <c r="A21" t="s">
        <v>68</v>
      </c>
      <c r="B21">
        <f>0.375-0.8</f>
        <v>-0.42500000000000004</v>
      </c>
      <c r="C21">
        <v>1</v>
      </c>
      <c r="G21">
        <f t="shared" si="0"/>
        <v>-0.17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sqref="H23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:A5"/>
    </sheetView>
  </sheetViews>
  <sheetFormatPr defaultColWidth="8.8515625" defaultRowHeight="12.75"/>
  <cols>
    <col min="1" max="1" width="35.8515625" style="0" customWidth="1"/>
  </cols>
  <sheetData>
    <row r="1" spans="1:7" ht="12.75">
      <c r="A1" t="s">
        <v>69</v>
      </c>
      <c r="B1">
        <f>1.5+1.5+2+1.5+3+3+1+4+1+1+1+2+1+1.5+1.5</f>
        <v>26.5</v>
      </c>
      <c r="C1">
        <v>15</v>
      </c>
      <c r="D1">
        <v>3</v>
      </c>
      <c r="E1">
        <v>10</v>
      </c>
      <c r="F1">
        <v>1</v>
      </c>
      <c r="G1">
        <f aca="true" t="shared" si="0" ref="G1:G19">IF(C1=0,0,IF(AND(E1&gt;0,F1&gt;0),B1+3,B1/2.5)+(C1-1)*0.111+D1*0.35+E1*0.222)</f>
        <v>34.324</v>
      </c>
    </row>
    <row r="2" spans="1:7" ht="12.75">
      <c r="A2" t="s">
        <v>71</v>
      </c>
      <c r="B2">
        <f>1.5+1.5+1+3+1+2+1+3+1.5+3+1+4+1+1+2+2+1.5+0.8+0.8+0.8+0.8+0.8+0.8+0.8+0.8+0.8</f>
        <v>38.19999999999998</v>
      </c>
      <c r="C2">
        <v>26</v>
      </c>
      <c r="D2">
        <v>9</v>
      </c>
      <c r="E2">
        <v>9</v>
      </c>
      <c r="F2">
        <v>0</v>
      </c>
      <c r="G2">
        <f t="shared" si="0"/>
        <v>23.202999999999992</v>
      </c>
    </row>
    <row r="3" spans="1:7" ht="12.75">
      <c r="A3" t="s">
        <v>70</v>
      </c>
      <c r="B3">
        <f>1+2+1+1+4+1+1+2+1+0.8+0.8</f>
        <v>15.600000000000001</v>
      </c>
      <c r="C3">
        <v>11</v>
      </c>
      <c r="E3">
        <v>8</v>
      </c>
      <c r="F3">
        <v>1</v>
      </c>
      <c r="G3">
        <f t="shared" si="0"/>
        <v>21.486</v>
      </c>
    </row>
    <row r="4" spans="1:7" ht="12.75">
      <c r="A4" t="s">
        <v>72</v>
      </c>
      <c r="B4">
        <f>2+2+1+4+1+1+2+1+0.8+0.8</f>
        <v>15.600000000000001</v>
      </c>
      <c r="C4">
        <v>10</v>
      </c>
      <c r="D4">
        <v>5</v>
      </c>
      <c r="E4">
        <v>7</v>
      </c>
      <c r="F4">
        <v>0</v>
      </c>
      <c r="G4">
        <f t="shared" si="0"/>
        <v>10.543000000000001</v>
      </c>
    </row>
    <row r="5" spans="1:7" ht="12.75">
      <c r="A5" t="s">
        <v>73</v>
      </c>
      <c r="B5">
        <f>1.5+1</f>
        <v>2.5</v>
      </c>
      <c r="C5">
        <v>2</v>
      </c>
      <c r="E5">
        <v>2</v>
      </c>
      <c r="F5">
        <v>1</v>
      </c>
      <c r="G5">
        <f t="shared" si="0"/>
        <v>6.055</v>
      </c>
    </row>
    <row r="6" spans="1:7" ht="12.75">
      <c r="A6" t="s">
        <v>74</v>
      </c>
      <c r="B6">
        <f>1+2+4+1</f>
        <v>8</v>
      </c>
      <c r="C6">
        <v>4</v>
      </c>
      <c r="E6">
        <v>5</v>
      </c>
      <c r="F6">
        <v>0</v>
      </c>
      <c r="G6">
        <f t="shared" si="0"/>
        <v>4.643000000000001</v>
      </c>
    </row>
    <row r="7" spans="1:7" ht="12.75">
      <c r="A7" t="s">
        <v>75</v>
      </c>
      <c r="B7">
        <f>1+1+1+1</f>
        <v>4</v>
      </c>
      <c r="C7">
        <v>4</v>
      </c>
      <c r="E7">
        <v>4</v>
      </c>
      <c r="G7">
        <f t="shared" si="0"/>
        <v>2.821</v>
      </c>
    </row>
    <row r="8" spans="1:7" ht="12.75">
      <c r="A8" t="s">
        <v>76</v>
      </c>
      <c r="B8">
        <f>2+2-0.8+1</f>
        <v>4.2</v>
      </c>
      <c r="C8">
        <v>3</v>
      </c>
      <c r="G8">
        <f t="shared" si="0"/>
        <v>1.9020000000000001</v>
      </c>
    </row>
    <row r="9" spans="1:7" ht="12.75">
      <c r="A9" t="s">
        <v>78</v>
      </c>
      <c r="B9">
        <f>2</f>
        <v>2</v>
      </c>
      <c r="C9">
        <v>1</v>
      </c>
      <c r="E9">
        <v>2</v>
      </c>
      <c r="G9">
        <f t="shared" si="0"/>
        <v>1.244</v>
      </c>
    </row>
    <row r="10" spans="1:7" ht="12.75">
      <c r="A10" t="s">
        <v>83</v>
      </c>
      <c r="B10">
        <f>2</f>
        <v>2</v>
      </c>
      <c r="C10">
        <v>1</v>
      </c>
      <c r="E10">
        <v>2</v>
      </c>
      <c r="G10">
        <f t="shared" si="0"/>
        <v>1.244</v>
      </c>
    </row>
    <row r="11" spans="1:7" ht="12.75">
      <c r="A11" t="s">
        <v>81</v>
      </c>
      <c r="B11">
        <f>2</f>
        <v>2</v>
      </c>
      <c r="C11">
        <v>1</v>
      </c>
      <c r="E11">
        <v>1</v>
      </c>
      <c r="G11">
        <f t="shared" si="0"/>
        <v>1.022</v>
      </c>
    </row>
    <row r="12" spans="1:7" ht="12.75">
      <c r="A12" t="s">
        <v>79</v>
      </c>
      <c r="B12">
        <f>1-0.8</f>
        <v>0.19999999999999996</v>
      </c>
      <c r="C12">
        <v>1</v>
      </c>
      <c r="D12">
        <v>2</v>
      </c>
      <c r="E12">
        <v>1</v>
      </c>
      <c r="G12">
        <f t="shared" si="0"/>
        <v>1.002</v>
      </c>
    </row>
    <row r="13" spans="1:7" ht="12.75">
      <c r="A13" t="s">
        <v>80</v>
      </c>
      <c r="B13">
        <f>1-0.8</f>
        <v>0.19999999999999996</v>
      </c>
      <c r="C13">
        <v>1</v>
      </c>
      <c r="D13">
        <v>1</v>
      </c>
      <c r="E13">
        <v>2</v>
      </c>
      <c r="G13">
        <f t="shared" si="0"/>
        <v>0.8739999999999999</v>
      </c>
    </row>
    <row r="14" spans="1:7" ht="12.75">
      <c r="A14" t="s">
        <v>82</v>
      </c>
      <c r="B14">
        <f>1</f>
        <v>1</v>
      </c>
      <c r="C14">
        <v>1</v>
      </c>
      <c r="E14">
        <v>1</v>
      </c>
      <c r="G14">
        <f t="shared" si="0"/>
        <v>0.622</v>
      </c>
    </row>
    <row r="15" spans="1:7" ht="12.75">
      <c r="A15" t="s">
        <v>77</v>
      </c>
      <c r="D15">
        <v>3</v>
      </c>
      <c r="E15">
        <v>3</v>
      </c>
      <c r="G15">
        <f t="shared" si="0"/>
        <v>0</v>
      </c>
    </row>
    <row r="16" spans="1:7" ht="12.75">
      <c r="A16" t="s">
        <v>85</v>
      </c>
      <c r="B16">
        <v>-0.8</v>
      </c>
      <c r="D16">
        <v>2</v>
      </c>
      <c r="E16">
        <v>1</v>
      </c>
      <c r="G16">
        <f t="shared" si="0"/>
        <v>0</v>
      </c>
    </row>
    <row r="17" spans="1:7" ht="12.75">
      <c r="A17" t="s">
        <v>84</v>
      </c>
      <c r="B17">
        <v>-0.8</v>
      </c>
      <c r="E17">
        <v>2</v>
      </c>
      <c r="G17">
        <f t="shared" si="0"/>
        <v>0</v>
      </c>
    </row>
    <row r="18" spans="1:7" ht="12.75">
      <c r="A18" t="s">
        <v>87</v>
      </c>
      <c r="B18">
        <v>-0.8</v>
      </c>
      <c r="D18">
        <v>2</v>
      </c>
      <c r="G18">
        <f t="shared" si="0"/>
        <v>0</v>
      </c>
    </row>
    <row r="19" spans="1:7" ht="12.75">
      <c r="A19" t="s">
        <v>86</v>
      </c>
      <c r="E19">
        <v>1</v>
      </c>
      <c r="G19">
        <f t="shared" si="0"/>
        <v>0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A5"/>
    </sheetView>
  </sheetViews>
  <sheetFormatPr defaultColWidth="8.8515625" defaultRowHeight="12.75"/>
  <cols>
    <col min="1" max="1" width="36.7109375" style="0" customWidth="1"/>
  </cols>
  <sheetData>
    <row r="1" spans="1:4" ht="12.75">
      <c r="A1" t="s">
        <v>88</v>
      </c>
      <c r="B1">
        <f>3+2+0.8+1.5+3+3+4+1+2+1.5</f>
        <v>21.8</v>
      </c>
      <c r="C1">
        <v>10</v>
      </c>
      <c r="D1">
        <f aca="true" t="shared" si="0" ref="D1:D15">B1+(0.11*(C1-1))</f>
        <v>22.79</v>
      </c>
    </row>
    <row r="2" spans="1:4" ht="12.75">
      <c r="A2" t="s">
        <v>89</v>
      </c>
      <c r="B2">
        <f>1.5+3+1+3+1+4+1+1.5</f>
        <v>16</v>
      </c>
      <c r="C2">
        <v>8</v>
      </c>
      <c r="D2">
        <f t="shared" si="0"/>
        <v>16.77</v>
      </c>
    </row>
    <row r="3" spans="1:4" ht="12.75">
      <c r="A3" t="s">
        <v>85</v>
      </c>
      <c r="B3">
        <f>3+1.5+1+1.5+4+1+2</f>
        <v>14</v>
      </c>
      <c r="C3">
        <v>7</v>
      </c>
      <c r="D3">
        <f t="shared" si="0"/>
        <v>14.66</v>
      </c>
    </row>
    <row r="4" spans="1:4" ht="12.75">
      <c r="A4" t="s">
        <v>90</v>
      </c>
      <c r="B4">
        <f>0.375+0.75+2+4</f>
        <v>7.125</v>
      </c>
      <c r="C4">
        <v>4</v>
      </c>
      <c r="D4">
        <f t="shared" si="0"/>
        <v>7.455</v>
      </c>
    </row>
    <row r="5" spans="1:4" ht="12.75">
      <c r="A5" t="s">
        <v>91</v>
      </c>
      <c r="B5">
        <f>1+2+4</f>
        <v>7</v>
      </c>
      <c r="C5">
        <v>3</v>
      </c>
      <c r="D5">
        <f t="shared" si="0"/>
        <v>7.22</v>
      </c>
    </row>
    <row r="6" spans="1:4" ht="12.75">
      <c r="A6" t="s">
        <v>95</v>
      </c>
      <c r="B6">
        <f>1+2+2</f>
        <v>5</v>
      </c>
      <c r="C6">
        <v>3</v>
      </c>
      <c r="D6">
        <f t="shared" si="0"/>
        <v>5.22</v>
      </c>
    </row>
    <row r="7" spans="1:4" ht="12.75">
      <c r="A7" t="s">
        <v>92</v>
      </c>
      <c r="B7">
        <f>2+1+1</f>
        <v>4</v>
      </c>
      <c r="C7">
        <v>3</v>
      </c>
      <c r="D7">
        <f t="shared" si="0"/>
        <v>4.22</v>
      </c>
    </row>
    <row r="8" spans="1:4" ht="12.75">
      <c r="A8" t="s">
        <v>94</v>
      </c>
      <c r="B8">
        <f>1+2</f>
        <v>3</v>
      </c>
      <c r="C8">
        <v>2</v>
      </c>
      <c r="D8">
        <f t="shared" si="0"/>
        <v>3.11</v>
      </c>
    </row>
    <row r="9" spans="1:4" ht="12.75">
      <c r="A9" t="s">
        <v>93</v>
      </c>
      <c r="B9">
        <f>2</f>
        <v>2</v>
      </c>
      <c r="C9">
        <v>1</v>
      </c>
      <c r="D9">
        <f t="shared" si="0"/>
        <v>2</v>
      </c>
    </row>
    <row r="10" spans="1:4" ht="12.75">
      <c r="A10" t="s">
        <v>96</v>
      </c>
      <c r="B10">
        <f>1.5</f>
        <v>1.5</v>
      </c>
      <c r="C10">
        <v>1</v>
      </c>
      <c r="D10">
        <f t="shared" si="0"/>
        <v>1.5</v>
      </c>
    </row>
    <row r="11" spans="1:4" ht="12.75">
      <c r="A11" t="s">
        <v>97</v>
      </c>
      <c r="B11">
        <f>0.375+0.75</f>
        <v>1.125</v>
      </c>
      <c r="C11">
        <v>2</v>
      </c>
      <c r="D11">
        <f t="shared" si="0"/>
        <v>1.235</v>
      </c>
    </row>
    <row r="12" spans="1:4" ht="12.75">
      <c r="A12" t="s">
        <v>98</v>
      </c>
      <c r="B12">
        <f>1</f>
        <v>1</v>
      </c>
      <c r="C12">
        <v>1</v>
      </c>
      <c r="D12">
        <f t="shared" si="0"/>
        <v>1</v>
      </c>
    </row>
    <row r="13" spans="1:4" ht="12.75">
      <c r="A13" t="s">
        <v>100</v>
      </c>
      <c r="B13">
        <f>0.75</f>
        <v>0.75</v>
      </c>
      <c r="C13">
        <v>1</v>
      </c>
      <c r="D13">
        <f t="shared" si="0"/>
        <v>0.75</v>
      </c>
    </row>
    <row r="14" spans="1:4" ht="12.75">
      <c r="A14" t="s">
        <v>99</v>
      </c>
      <c r="B14">
        <f>0.75</f>
        <v>0.75</v>
      </c>
      <c r="C14">
        <v>1</v>
      </c>
      <c r="D14">
        <f t="shared" si="0"/>
        <v>0.75</v>
      </c>
    </row>
    <row r="15" spans="1:4" ht="12.75">
      <c r="A15" t="s">
        <v>101</v>
      </c>
      <c r="B15">
        <f>0.375</f>
        <v>0.375</v>
      </c>
      <c r="C15">
        <v>1</v>
      </c>
      <c r="D15">
        <f t="shared" si="0"/>
        <v>0.375</v>
      </c>
    </row>
    <row r="16" spans="1:4" ht="12.75">
      <c r="A16" t="s">
        <v>103</v>
      </c>
      <c r="B16">
        <f>1</f>
        <v>1</v>
      </c>
      <c r="C16">
        <v>1</v>
      </c>
      <c r="D16">
        <f>B16/3.3+(0.11*(C16-1))</f>
        <v>0.30303030303030304</v>
      </c>
    </row>
    <row r="17" spans="1:4" ht="12.75">
      <c r="A17" t="s">
        <v>102</v>
      </c>
      <c r="B17">
        <f>1</f>
        <v>1</v>
      </c>
      <c r="C17">
        <v>1</v>
      </c>
      <c r="D17">
        <f>B17/3.3+(0.11*(C17-1))</f>
        <v>0.30303030303030304</v>
      </c>
    </row>
    <row r="18" spans="1:4" ht="12.75">
      <c r="A18" t="s">
        <v>45</v>
      </c>
      <c r="B18">
        <f>0.375</f>
        <v>0.375</v>
      </c>
      <c r="C18">
        <v>1</v>
      </c>
      <c r="D18">
        <f>B18/3.3+(0.11*(C18-1))</f>
        <v>0.11363636363636365</v>
      </c>
    </row>
    <row r="19" spans="1:4" ht="12.75">
      <c r="A19" t="s">
        <v>104</v>
      </c>
      <c r="B19">
        <f>0.375</f>
        <v>0.375</v>
      </c>
      <c r="C19">
        <v>1</v>
      </c>
      <c r="D19">
        <f>B19/3.3+(0.11*(C19-1))</f>
        <v>0.11363636363636365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A5"/>
    </sheetView>
  </sheetViews>
  <sheetFormatPr defaultColWidth="8.8515625" defaultRowHeight="12.75"/>
  <cols>
    <col min="1" max="1" width="36.7109375" style="0" customWidth="1"/>
    <col min="2" max="3" width="8.8515625" style="0" customWidth="1"/>
    <col min="4" max="4" width="9.28125" style="0" customWidth="1"/>
  </cols>
  <sheetData>
    <row r="1" spans="1:4" ht="12.75">
      <c r="A1" t="s">
        <v>105</v>
      </c>
      <c r="B1">
        <f>1.5+3+1+1+2+3+2+3+1+4+1+1.5</f>
        <v>24</v>
      </c>
      <c r="C1">
        <v>12</v>
      </c>
      <c r="D1">
        <f aca="true" t="shared" si="0" ref="D1:D13">(B1+(0.11*(C1-1)))</f>
        <v>25.21</v>
      </c>
    </row>
    <row r="2" spans="1:4" ht="12.75">
      <c r="A2" t="s">
        <v>106</v>
      </c>
      <c r="B2">
        <f>2+1.5+0.8+3+4+1</f>
        <v>12.3</v>
      </c>
      <c r="C2">
        <v>6</v>
      </c>
      <c r="D2">
        <f t="shared" si="0"/>
        <v>12.850000000000001</v>
      </c>
    </row>
    <row r="3" spans="1:4" ht="12.75">
      <c r="A3" t="s">
        <v>107</v>
      </c>
      <c r="B3">
        <f>1.5+1.5+3+1+4</f>
        <v>11</v>
      </c>
      <c r="C3">
        <v>5</v>
      </c>
      <c r="D3">
        <f t="shared" si="0"/>
        <v>11.44</v>
      </c>
    </row>
    <row r="4" spans="1:4" ht="12.75">
      <c r="A4" t="s">
        <v>108</v>
      </c>
      <c r="B4">
        <f>1+2+1+4+2</f>
        <v>10</v>
      </c>
      <c r="C4">
        <v>5</v>
      </c>
      <c r="D4">
        <f t="shared" si="0"/>
        <v>10.44</v>
      </c>
    </row>
    <row r="5" spans="1:4" ht="12.75">
      <c r="A5" t="s">
        <v>109</v>
      </c>
      <c r="B5">
        <f>1+3+1.5+2</f>
        <v>7.5</v>
      </c>
      <c r="C5">
        <v>4</v>
      </c>
      <c r="D5">
        <f t="shared" si="0"/>
        <v>7.83</v>
      </c>
    </row>
    <row r="6" spans="1:4" ht="12.75">
      <c r="A6" t="s">
        <v>46</v>
      </c>
      <c r="B6">
        <f>0.375+0.75+4+1</f>
        <v>6.125</v>
      </c>
      <c r="C6">
        <v>4</v>
      </c>
      <c r="D6">
        <f t="shared" si="0"/>
        <v>6.455</v>
      </c>
    </row>
    <row r="7" spans="1:4" ht="12.75">
      <c r="A7" t="s">
        <v>110</v>
      </c>
      <c r="B7">
        <f>2+1+2</f>
        <v>5</v>
      </c>
      <c r="C7">
        <v>3</v>
      </c>
      <c r="D7">
        <f t="shared" si="0"/>
        <v>5.22</v>
      </c>
    </row>
    <row r="8" spans="1:4" ht="12.75">
      <c r="A8" t="s">
        <v>0</v>
      </c>
      <c r="B8">
        <f>4</f>
        <v>4</v>
      </c>
      <c r="C8">
        <v>1</v>
      </c>
      <c r="D8">
        <f t="shared" si="0"/>
        <v>4</v>
      </c>
    </row>
    <row r="9" spans="1:4" ht="12.75">
      <c r="A9" t="s">
        <v>111</v>
      </c>
      <c r="B9">
        <f>2</f>
        <v>2</v>
      </c>
      <c r="C9">
        <v>1</v>
      </c>
      <c r="D9">
        <f t="shared" si="0"/>
        <v>2</v>
      </c>
    </row>
    <row r="10" spans="1:4" ht="12.75">
      <c r="A10" t="s">
        <v>2</v>
      </c>
      <c r="B10">
        <f>0.375+0.75</f>
        <v>1.125</v>
      </c>
      <c r="C10">
        <v>2</v>
      </c>
      <c r="D10">
        <f t="shared" si="0"/>
        <v>1.235</v>
      </c>
    </row>
    <row r="11" spans="1:4" ht="12.75">
      <c r="A11" t="s">
        <v>1</v>
      </c>
      <c r="B11">
        <f>1+0</f>
        <v>1</v>
      </c>
      <c r="C11">
        <v>2</v>
      </c>
      <c r="D11">
        <f t="shared" si="0"/>
        <v>1.11</v>
      </c>
    </row>
    <row r="12" spans="1:4" ht="12.75">
      <c r="A12" t="s">
        <v>3</v>
      </c>
      <c r="B12">
        <f>0.75</f>
        <v>0.75</v>
      </c>
      <c r="C12">
        <v>1</v>
      </c>
      <c r="D12">
        <f t="shared" si="0"/>
        <v>0.75</v>
      </c>
    </row>
    <row r="13" spans="1:4" ht="12.75">
      <c r="A13" t="s">
        <v>4</v>
      </c>
      <c r="B13">
        <f>0.75</f>
        <v>0.75</v>
      </c>
      <c r="C13">
        <v>1</v>
      </c>
      <c r="D13">
        <f t="shared" si="0"/>
        <v>0.75</v>
      </c>
    </row>
    <row r="14" spans="1:4" ht="12.75">
      <c r="A14" t="s">
        <v>43</v>
      </c>
      <c r="B14">
        <f>1.5</f>
        <v>1.5</v>
      </c>
      <c r="C14">
        <v>1</v>
      </c>
      <c r="D14">
        <f>(B14/3.3+(0.11*(C14-1)))</f>
        <v>0.4545454545454546</v>
      </c>
    </row>
    <row r="15" spans="1:4" ht="12.75">
      <c r="A15" t="s">
        <v>5</v>
      </c>
      <c r="B15">
        <f>0.375</f>
        <v>0.375</v>
      </c>
      <c r="C15">
        <v>1</v>
      </c>
      <c r="D15">
        <f>(B15/3.3+(0.11*(C15-1)))</f>
        <v>0.11363636363636365</v>
      </c>
    </row>
    <row r="16" spans="1:4" ht="12.75">
      <c r="A16" t="s">
        <v>6</v>
      </c>
      <c r="B16">
        <f>0.375</f>
        <v>0.375</v>
      </c>
      <c r="C16">
        <v>1</v>
      </c>
      <c r="D16">
        <f>(B16/3.3+(0.11*(C16-1)))</f>
        <v>0.11363636363636365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A5"/>
    </sheetView>
  </sheetViews>
  <sheetFormatPr defaultColWidth="8.8515625" defaultRowHeight="12.75"/>
  <cols>
    <col min="1" max="1" width="38.421875" style="0" customWidth="1"/>
  </cols>
  <sheetData>
    <row r="1" spans="1:4" ht="12.75">
      <c r="A1" t="s">
        <v>7</v>
      </c>
      <c r="B1">
        <f>3+1.5+3+1.5+3+1.5+4+1+1.5+1.5+1</f>
        <v>22.5</v>
      </c>
      <c r="C1">
        <v>11</v>
      </c>
      <c r="D1">
        <f aca="true" t="shared" si="0" ref="D1:D9">(B1+(0.11*(C1-1)))</f>
        <v>23.6</v>
      </c>
    </row>
    <row r="2" spans="1:4" ht="12.75">
      <c r="A2" t="s">
        <v>8</v>
      </c>
      <c r="B2">
        <f>2+3+1+4+1+2</f>
        <v>13</v>
      </c>
      <c r="C2">
        <v>6</v>
      </c>
      <c r="D2">
        <f t="shared" si="0"/>
        <v>13.55</v>
      </c>
    </row>
    <row r="3" spans="1:4" ht="12.75">
      <c r="A3" t="s">
        <v>9</v>
      </c>
      <c r="B3">
        <f>1.5+1+3+4+1+2</f>
        <v>12.5</v>
      </c>
      <c r="C3">
        <v>6</v>
      </c>
      <c r="D3">
        <f t="shared" si="0"/>
        <v>13.05</v>
      </c>
    </row>
    <row r="4" spans="1:4" ht="12.75">
      <c r="A4" t="s">
        <v>10</v>
      </c>
      <c r="B4">
        <f>1+2+4+2</f>
        <v>9</v>
      </c>
      <c r="C4">
        <v>4</v>
      </c>
      <c r="D4">
        <f t="shared" si="0"/>
        <v>9.33</v>
      </c>
    </row>
    <row r="5" spans="1:4" ht="12.75">
      <c r="A5" t="s">
        <v>11</v>
      </c>
      <c r="B5">
        <f>1.5+2+1+1.5</f>
        <v>6</v>
      </c>
      <c r="C5">
        <v>4</v>
      </c>
      <c r="D5">
        <f t="shared" si="0"/>
        <v>6.33</v>
      </c>
    </row>
    <row r="6" spans="1:4" ht="12.75">
      <c r="A6" t="s">
        <v>12</v>
      </c>
      <c r="B6">
        <f>2+2+2</f>
        <v>6</v>
      </c>
      <c r="C6">
        <v>3</v>
      </c>
      <c r="D6">
        <f t="shared" si="0"/>
        <v>6.22</v>
      </c>
    </row>
    <row r="7" spans="1:4" ht="12.75">
      <c r="A7" t="s">
        <v>14</v>
      </c>
      <c r="B7">
        <f>2+1+2</f>
        <v>5</v>
      </c>
      <c r="C7">
        <v>3</v>
      </c>
      <c r="D7">
        <f t="shared" si="0"/>
        <v>5.22</v>
      </c>
    </row>
    <row r="8" spans="1:4" ht="12.75">
      <c r="A8" t="s">
        <v>13</v>
      </c>
      <c r="B8">
        <f>1+4</f>
        <v>5</v>
      </c>
      <c r="C8">
        <v>2</v>
      </c>
      <c r="D8">
        <f t="shared" si="0"/>
        <v>5.11</v>
      </c>
    </row>
    <row r="9" spans="1:4" ht="12.75">
      <c r="A9" t="s">
        <v>47</v>
      </c>
      <c r="B9">
        <f>0.375</f>
        <v>0.375</v>
      </c>
      <c r="C9">
        <v>1</v>
      </c>
      <c r="D9">
        <f t="shared" si="0"/>
        <v>0.375</v>
      </c>
    </row>
    <row r="10" spans="1:4" ht="12.75">
      <c r="A10" t="s">
        <v>15</v>
      </c>
      <c r="B10">
        <f>1</f>
        <v>1</v>
      </c>
      <c r="C10">
        <v>1</v>
      </c>
      <c r="D10">
        <f>(B10/3.3+(0.11*(C10-1)))</f>
        <v>0.30303030303030304</v>
      </c>
    </row>
    <row r="11" spans="1:4" ht="12.75">
      <c r="A11" t="s">
        <v>16</v>
      </c>
      <c r="B11">
        <f>1</f>
        <v>1</v>
      </c>
      <c r="C11">
        <v>1</v>
      </c>
      <c r="D11">
        <f>(B11/3.3+(0.11*(C11-1)))</f>
        <v>0.30303030303030304</v>
      </c>
    </row>
    <row r="12" spans="1:4" ht="12.75">
      <c r="A12" t="s">
        <v>17</v>
      </c>
      <c r="B12">
        <f>1</f>
        <v>1</v>
      </c>
      <c r="C12">
        <v>1</v>
      </c>
      <c r="D12">
        <f>(B12/3.3+(0.11*(C12-1)))</f>
        <v>0.30303030303030304</v>
      </c>
    </row>
    <row r="13" spans="1:4" ht="12.75">
      <c r="A13" t="s">
        <v>18</v>
      </c>
      <c r="B13">
        <f>1</f>
        <v>1</v>
      </c>
      <c r="C13">
        <v>1</v>
      </c>
      <c r="D13">
        <f>(B13/3.3+(0.11*(C13-1)))</f>
        <v>0.30303030303030304</v>
      </c>
    </row>
    <row r="14" spans="1:4" ht="12.75">
      <c r="A14" t="s">
        <v>19</v>
      </c>
      <c r="B14">
        <f>0.375</f>
        <v>0.375</v>
      </c>
      <c r="C14">
        <v>1</v>
      </c>
      <c r="D14">
        <f>(B14/3.3+(0.11*(C14-1)))</f>
        <v>0.11363636363636365</v>
      </c>
    </row>
    <row r="26" ht="12.75" customHeight="1"/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:A5"/>
    </sheetView>
  </sheetViews>
  <sheetFormatPr defaultColWidth="8.8515625" defaultRowHeight="12.75"/>
  <cols>
    <col min="1" max="1" width="36.421875" style="0" customWidth="1"/>
  </cols>
  <sheetData>
    <row r="1" spans="1:4" ht="12.75">
      <c r="A1" t="s">
        <v>20</v>
      </c>
      <c r="B1">
        <f>3+1.5+2+1.5+1.5+4+1+1</f>
        <v>15.5</v>
      </c>
      <c r="C1">
        <v>8</v>
      </c>
      <c r="D1">
        <f aca="true" t="shared" si="0" ref="D1:D7">(B1+(0.11*(C1-1)))</f>
        <v>16.27</v>
      </c>
    </row>
    <row r="2" spans="1:4" ht="12.75">
      <c r="A2" t="s">
        <v>21</v>
      </c>
      <c r="B2">
        <f>1.5+3+2+3+1+2</f>
        <v>12.5</v>
      </c>
      <c r="C2">
        <v>6</v>
      </c>
      <c r="D2">
        <f t="shared" si="0"/>
        <v>13.05</v>
      </c>
    </row>
    <row r="3" spans="1:4" ht="12.75">
      <c r="A3" t="s">
        <v>22</v>
      </c>
      <c r="B3">
        <f>2+1+3+4+1</f>
        <v>11</v>
      </c>
      <c r="C3">
        <v>5</v>
      </c>
      <c r="D3">
        <f t="shared" si="0"/>
        <v>11.44</v>
      </c>
    </row>
    <row r="4" spans="1:4" ht="12.75">
      <c r="A4" t="s">
        <v>23</v>
      </c>
      <c r="B4">
        <f>3+1.5+4+1</f>
        <v>9.5</v>
      </c>
      <c r="C4">
        <v>4</v>
      </c>
      <c r="D4">
        <f t="shared" si="0"/>
        <v>9.83</v>
      </c>
    </row>
    <row r="5" spans="1:4" ht="12.75">
      <c r="A5" t="s">
        <v>25</v>
      </c>
      <c r="B5">
        <f>4+1.5</f>
        <v>5.5</v>
      </c>
      <c r="C5">
        <v>2</v>
      </c>
      <c r="D5">
        <f t="shared" si="0"/>
        <v>5.61</v>
      </c>
    </row>
    <row r="6" spans="1:4" ht="12.75">
      <c r="A6" t="s">
        <v>26</v>
      </c>
      <c r="B6">
        <f>1+2+2</f>
        <v>5</v>
      </c>
      <c r="C6">
        <v>3</v>
      </c>
      <c r="D6">
        <f t="shared" si="0"/>
        <v>5.22</v>
      </c>
    </row>
    <row r="7" spans="1:4" ht="12.75">
      <c r="A7" t="s">
        <v>24</v>
      </c>
      <c r="B7">
        <f>1+4</f>
        <v>5</v>
      </c>
      <c r="C7">
        <v>2</v>
      </c>
      <c r="D7">
        <f t="shared" si="0"/>
        <v>5.11</v>
      </c>
    </row>
    <row r="8" spans="1:4" ht="12.75">
      <c r="A8" t="s">
        <v>27</v>
      </c>
      <c r="B8">
        <f>1+1</f>
        <v>2</v>
      </c>
      <c r="C8">
        <v>2</v>
      </c>
      <c r="D8">
        <f aca="true" t="shared" si="1" ref="D8:D17">(B8/3.3+(0.11*(C8-1)))</f>
        <v>0.7160606060606061</v>
      </c>
    </row>
    <row r="9" spans="1:4" ht="12.75">
      <c r="A9" t="s">
        <v>44</v>
      </c>
      <c r="B9">
        <f>1.5</f>
        <v>1.5</v>
      </c>
      <c r="C9">
        <v>1</v>
      </c>
      <c r="D9">
        <f t="shared" si="1"/>
        <v>0.4545454545454546</v>
      </c>
    </row>
    <row r="10" spans="1:4" ht="12.75">
      <c r="A10" t="s">
        <v>28</v>
      </c>
      <c r="B10">
        <f>1</f>
        <v>1</v>
      </c>
      <c r="C10">
        <v>1</v>
      </c>
      <c r="D10">
        <f t="shared" si="1"/>
        <v>0.30303030303030304</v>
      </c>
    </row>
    <row r="11" spans="1:4" ht="12.75">
      <c r="A11" t="s">
        <v>29</v>
      </c>
      <c r="B11">
        <f>1</f>
        <v>1</v>
      </c>
      <c r="C11">
        <v>1</v>
      </c>
      <c r="D11">
        <f t="shared" si="1"/>
        <v>0.30303030303030304</v>
      </c>
    </row>
    <row r="12" spans="1:4" ht="12.75">
      <c r="A12" t="s">
        <v>30</v>
      </c>
      <c r="B12">
        <f>1</f>
        <v>1</v>
      </c>
      <c r="C12">
        <v>1</v>
      </c>
      <c r="D12">
        <f t="shared" si="1"/>
        <v>0.30303030303030304</v>
      </c>
    </row>
    <row r="13" spans="1:4" ht="12.75">
      <c r="A13" t="s">
        <v>31</v>
      </c>
      <c r="B13">
        <f>1</f>
        <v>1</v>
      </c>
      <c r="C13">
        <v>1</v>
      </c>
      <c r="D13">
        <f t="shared" si="1"/>
        <v>0.30303030303030304</v>
      </c>
    </row>
    <row r="14" spans="1:4" ht="12.75">
      <c r="A14" t="s">
        <v>32</v>
      </c>
      <c r="B14">
        <f>1</f>
        <v>1</v>
      </c>
      <c r="C14">
        <v>1</v>
      </c>
      <c r="D14">
        <f t="shared" si="1"/>
        <v>0.30303030303030304</v>
      </c>
    </row>
    <row r="15" spans="1:4" ht="12.75">
      <c r="A15" t="s">
        <v>33</v>
      </c>
      <c r="B15">
        <f>0.375</f>
        <v>0.375</v>
      </c>
      <c r="C15">
        <v>1</v>
      </c>
      <c r="D15">
        <f t="shared" si="1"/>
        <v>0.11363636363636365</v>
      </c>
    </row>
    <row r="16" spans="1:4" ht="12.75">
      <c r="A16" t="s">
        <v>34</v>
      </c>
      <c r="B16">
        <f>0.375</f>
        <v>0.375</v>
      </c>
      <c r="C16">
        <v>1</v>
      </c>
      <c r="D16">
        <f t="shared" si="1"/>
        <v>0.11363636363636365</v>
      </c>
    </row>
    <row r="17" spans="1:4" ht="12.75">
      <c r="A17" t="s">
        <v>35</v>
      </c>
      <c r="B17">
        <f>0.375</f>
        <v>0.375</v>
      </c>
      <c r="C17">
        <v>1</v>
      </c>
      <c r="D17">
        <f t="shared" si="1"/>
        <v>0.11363636363636365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7.140625" style="0" customWidth="1"/>
    <col min="2" max="3" width="8.8515625" style="0" customWidth="1"/>
    <col min="4" max="4" width="8.421875" style="0" customWidth="1"/>
  </cols>
  <sheetData>
    <row r="1" spans="1:5" ht="12.75">
      <c r="A1" t="s">
        <v>49</v>
      </c>
      <c r="B1">
        <f>0.75+1.5+3+3+1+4</f>
        <v>13.25</v>
      </c>
      <c r="C1">
        <v>6</v>
      </c>
      <c r="D1">
        <v>7</v>
      </c>
      <c r="E1">
        <f aca="true" t="shared" si="0" ref="E1:E8">B1+(0.11*(C1-1))+D1*0.35</f>
        <v>16.25</v>
      </c>
    </row>
    <row r="2" spans="1:5" ht="12.75">
      <c r="A2" t="s">
        <v>48</v>
      </c>
      <c r="B2">
        <f>1+2+2+2+4</f>
        <v>11</v>
      </c>
      <c r="C2">
        <v>5</v>
      </c>
      <c r="D2">
        <v>12</v>
      </c>
      <c r="E2">
        <f t="shared" si="0"/>
        <v>15.639999999999999</v>
      </c>
    </row>
    <row r="3" spans="1:5" ht="12.75">
      <c r="A3" t="s">
        <v>36</v>
      </c>
      <c r="B3">
        <f>2+1.5+4+1.5</f>
        <v>9</v>
      </c>
      <c r="C3">
        <v>4</v>
      </c>
      <c r="D3" s="2">
        <v>8</v>
      </c>
      <c r="E3">
        <f t="shared" si="0"/>
        <v>12.129999999999999</v>
      </c>
    </row>
    <row r="4" spans="1:5" ht="12.75">
      <c r="A4" t="s">
        <v>55</v>
      </c>
      <c r="B4">
        <f>1+1+4</f>
        <v>6</v>
      </c>
      <c r="C4">
        <v>3</v>
      </c>
      <c r="D4" s="2">
        <v>6</v>
      </c>
      <c r="E4">
        <f t="shared" si="0"/>
        <v>8.32</v>
      </c>
    </row>
    <row r="5" spans="1:5" ht="12.75">
      <c r="A5" t="s">
        <v>37</v>
      </c>
      <c r="B5">
        <f>1+4</f>
        <v>5</v>
      </c>
      <c r="C5">
        <v>2</v>
      </c>
      <c r="D5" s="2">
        <v>5</v>
      </c>
      <c r="E5">
        <f t="shared" si="0"/>
        <v>6.86</v>
      </c>
    </row>
    <row r="6" spans="1:5" ht="12.75">
      <c r="A6" t="s">
        <v>38</v>
      </c>
      <c r="B6">
        <f>2+1</f>
        <v>3</v>
      </c>
      <c r="C6">
        <v>2</v>
      </c>
      <c r="E6">
        <f t="shared" si="0"/>
        <v>3.11</v>
      </c>
    </row>
    <row r="7" spans="1:5" ht="12.75">
      <c r="A7" t="s">
        <v>59</v>
      </c>
      <c r="B7">
        <f>1</f>
        <v>1</v>
      </c>
      <c r="C7">
        <v>1</v>
      </c>
      <c r="E7">
        <f t="shared" si="0"/>
        <v>1</v>
      </c>
    </row>
    <row r="8" spans="1:5" ht="12.75">
      <c r="A8" t="s">
        <v>39</v>
      </c>
      <c r="B8">
        <f>1</f>
        <v>1</v>
      </c>
      <c r="C8">
        <v>1</v>
      </c>
      <c r="E8">
        <f t="shared" si="0"/>
        <v>1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7.28125" style="0" customWidth="1"/>
  </cols>
  <sheetData>
    <row r="1" spans="1:5" ht="12.75">
      <c r="A1" t="s">
        <v>50</v>
      </c>
      <c r="B1">
        <f>2+2+1.5+1.5+2+1.5+2+3+2+1.5+2+3+1.5+3+4+1+1.5</f>
        <v>35</v>
      </c>
      <c r="C1">
        <v>17</v>
      </c>
      <c r="D1">
        <v>15</v>
      </c>
      <c r="E1">
        <f aca="true" t="shared" si="0" ref="E1:E7">B1+(0.11*(C1-1))+D1*0.35</f>
        <v>42.01</v>
      </c>
    </row>
    <row r="2" spans="1:5" ht="12.75">
      <c r="A2" t="s">
        <v>53</v>
      </c>
      <c r="B2">
        <f>1+4</f>
        <v>5</v>
      </c>
      <c r="C2">
        <v>2</v>
      </c>
      <c r="D2">
        <v>5</v>
      </c>
      <c r="E2">
        <f t="shared" si="0"/>
        <v>6.86</v>
      </c>
    </row>
    <row r="3" spans="1:5" ht="12.75">
      <c r="A3" t="s">
        <v>57</v>
      </c>
      <c r="B3">
        <f>2+4</f>
        <v>6</v>
      </c>
      <c r="C3">
        <v>2</v>
      </c>
      <c r="D3">
        <v>2</v>
      </c>
      <c r="E3">
        <f t="shared" si="0"/>
        <v>6.8100000000000005</v>
      </c>
    </row>
    <row r="4" spans="1:5" ht="12.75">
      <c r="A4" t="s">
        <v>54</v>
      </c>
      <c r="B4">
        <f>1+4</f>
        <v>5</v>
      </c>
      <c r="C4">
        <v>2</v>
      </c>
      <c r="D4">
        <v>3</v>
      </c>
      <c r="E4">
        <f t="shared" si="0"/>
        <v>6.16</v>
      </c>
    </row>
    <row r="5" spans="1:5" ht="12.75">
      <c r="A5" t="s">
        <v>40</v>
      </c>
      <c r="B5">
        <f>1+4</f>
        <v>5</v>
      </c>
      <c r="C5">
        <v>2</v>
      </c>
      <c r="D5">
        <v>1</v>
      </c>
      <c r="E5">
        <f t="shared" si="0"/>
        <v>5.46</v>
      </c>
    </row>
    <row r="6" spans="1:5" ht="12.75">
      <c r="A6" t="s">
        <v>41</v>
      </c>
      <c r="B6">
        <f>4</f>
        <v>4</v>
      </c>
      <c r="C6">
        <v>1</v>
      </c>
      <c r="D6">
        <v>1</v>
      </c>
      <c r="E6">
        <f t="shared" si="0"/>
        <v>4.35</v>
      </c>
    </row>
    <row r="7" spans="1:5" ht="12.75">
      <c r="A7" t="s">
        <v>42</v>
      </c>
      <c r="B7">
        <f>1+1</f>
        <v>2</v>
      </c>
      <c r="C7">
        <v>2</v>
      </c>
      <c r="D7">
        <v>5</v>
      </c>
      <c r="E7">
        <f t="shared" si="0"/>
        <v>3.86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</dc:creator>
  <cp:keywords/>
  <dc:description/>
  <cp:lastModifiedBy>vero</cp:lastModifiedBy>
  <dcterms:created xsi:type="dcterms:W3CDTF">2000-02-17T17:19:19Z</dcterms:created>
  <dcterms:modified xsi:type="dcterms:W3CDTF">2012-08-23T01:20:51Z</dcterms:modified>
  <cp:category/>
  <cp:version/>
  <cp:contentType/>
  <cp:contentStatus/>
</cp:coreProperties>
</file>